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comments7.xml" ContentType="application/vnd.openxmlformats-officedocument.spreadsheetml.comments+xml"/>
  <Override PartName="/xl/theme/theme1.xml" ContentType="application/vnd.openxmlformats-officedocument.theme+xml"/>
  <Override PartName="/xl/styles.xml" ContentType="application/vnd.openxmlformats-officedocument.spreadsheetml.styles+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sheet9.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xl/comments4.xml" ContentType="application/vnd.openxmlformats-officedocument.spreadsheetml.comments+xml"/>
  <Override PartName="/xl/media/image1.png" ContentType="image/png"/>
  <Override PartName="/xl/media/image2.png" ContentType="image/png"/>
  <Override PartName="/xl/drawings/_rels/drawing2.xml.rels" ContentType="application/vnd.openxmlformats-package.relationships+xml"/>
  <Override PartName="/xl/drawings/_rels/drawing1.xml.rels" ContentType="application/vnd.openxmlformats-package.relationship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drawings/drawing1.xml" ContentType="application/vnd.openxmlformats-officedocument.drawing+xml"/>
  <Override PartName="/xl/drawings/vmlDrawing4.vml" ContentType="application/vnd.openxmlformats-officedocument.vmlDrawing"/>
  <Override PartName="/xl/drawings/drawing2.xml" ContentType="application/vnd.openxmlformats-officedocument.drawing+xml"/>
  <Override PartName="/xl/tables/table3.xml" ContentType="application/vnd.openxmlformats-officedocument.spreadsheetml.table+xml"/>
  <Override PartName="/xl/tables/table1.xml" ContentType="application/vnd.openxmlformats-officedocument.spreadsheetml.table+xml"/>
  <Override PartName="/xl/tables/table4.xml" ContentType="application/vnd.openxmlformats-officedocument.spreadsheetml.table+xml"/>
  <Override PartName="/xl/tables/table2.xml" ContentType="application/vnd.openxmlformats-officedocument.spreadsheetml.table+xml"/>
  <Override PartName="/xl/comments5.xml" ContentType="application/vnd.openxmlformats-officedocument.spreadsheetml.comments+xml"/>
  <Override PartName="/xl/comments6.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tatus" sheetId="1" state="visible" r:id="rId3"/>
    <sheet name="How to use" sheetId="2" state="visible" r:id="rId4"/>
    <sheet name="Policy card" sheetId="3" state="visible" r:id="rId5"/>
    <sheet name="Drafts" sheetId="4" state="visible" r:id="rId6"/>
    <sheet name="Comments" sheetId="5" state="visible" r:id="rId7"/>
    <sheet name="Versions" sheetId="6" state="visible" r:id="rId8"/>
    <sheet name="Deferred edits" sheetId="7" state="visible" r:id="rId9"/>
    <sheet name="Process" sheetId="8" state="visible" r:id="rId10"/>
    <sheet name="Comment flow" sheetId="9" state="visible" r:id="rId11"/>
    <sheet name="Feedback form" sheetId="10" state="visible" r:id="rId12"/>
    <sheet name="About" sheetId="11" state="visible" r:id="rId13"/>
    <sheet name="Lists" sheetId="12" state="visible" r:id="rId14"/>
    <sheet name="Calc" sheetId="13" state="hidden" r:id="rId15"/>
  </sheets>
  <definedNames>
    <definedName function="false" hidden="false" localSheetId="0" name="_xlnm.Print_Area" vbProcedure="false">Status!$A$1:$H$34</definedName>
    <definedName function="false" hidden="false" name="AsOfDate" vbProcedure="false">About!$B$3</definedName>
    <definedName function="false" hidden="false" name="NextCommittee" vbProcedure="false">About!$B$5</definedName>
    <definedName function="false" hidden="false" name="RecordThrough" vbProcedure="false">About!$B$4</definedName>
    <definedName function="false" hidden="false" name="RegDays" vbProcedure="false">About!$B$6</definedName>
    <definedName function="false" hidden="false" name="StageList" vbProcedure="false">Lists!$A$2:$A$11</definedName>
  </definedNames>
  <calcPr iterateCount="100" refMode="A1" iterate="false" iterateDelta="0.0001"/>
  <extLst>
    <ext xmlns:loext="http://schemas.libreoffice.org/" uri="{7626C862-2A13-11E5-B345-FEFF819CDC9F}">
      <loext:extCalcPr stringRefSyntax="ExcelA1"/>
    </ext>
  </extLst>
</workbook>
</file>

<file path=xl/comments4.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Unknown Author</author>
  </authors>
  <commentList>
    <comment ref="A1" authorId="0">
      <text>
        <r>
          <rPr>
            <sz val="10"/>
            <rFont val="Arial"/>
            <family val="2"/>
          </rPr>
          <t xml:space="preserve">Policy or regulation code.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B1" authorId="0">
      <text>
        <r>
          <rPr>
            <sz val="10"/>
            <rFont val="Arial"/>
            <family val="2"/>
          </rPr>
          <t xml:space="preserve">Title.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C1" authorId="0">
      <text>
        <r>
          <rPr>
            <sz val="10"/>
            <rFont val="Arial"/>
            <family val="2"/>
          </rPr>
          <t xml:space="preserve">Policy (new), Policy (revision) or Regulation.</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D1" authorId="0">
      <text>
        <r>
          <rPr>
            <sz val="10"/>
            <rFont val="Arial"/>
            <family val="2"/>
          </rPr>
          <t xml:space="preserve">Office that owns the content. Legal Affairs reviews every draft.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E1" authorId="0">
      <text>
        <r>
          <rPr>
            <sz val="10"/>
            <rFont val="Arial"/>
            <family val="2"/>
          </rPr>
          <t xml:space="preserve">Where it stands. Typed here only.</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F1" authorId="0">
      <text>
        <r>
          <rPr>
            <sz val="10"/>
            <rFont val="Arial"/>
            <family val="2"/>
          </rPr>
          <t xml:space="preserve">What happened most recently.</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G1" authorId="0">
      <text>
        <r>
          <rPr>
            <sz val="10"/>
            <rFont val="Arial"/>
            <family val="2"/>
          </rPr>
          <t xml:space="preserve">Date of the last action.</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H1" authorId="0">
      <text>
        <r>
          <rPr>
            <sz val="10"/>
            <rFont val="Arial"/>
            <family val="2"/>
          </rPr>
          <t xml:space="preserve">What happens next.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I1" authorId="0">
      <text>
        <r>
          <rPr>
            <sz val="10"/>
            <rFont val="Arial"/>
            <family val="2"/>
          </rPr>
          <t xml:space="preserve">Date of the next step, if set. For Held, the return date.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J1" authorId="0">
      <text>
        <r>
          <rPr>
            <sz val="10"/>
            <rFont val="Arial"/>
            <family val="2"/>
          </rPr>
          <t xml:space="preserve">One line on what the draft changes.</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K1" authorId="0">
      <text>
        <r>
          <rPr>
            <sz val="10"/>
            <rFont val="Arial"/>
            <family val="2"/>
          </rPr>
          <t xml:space="preserve">Formula; don't type here. Clickable link to the adopted version, built from current_url.</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L1" authorId="0">
      <text>
        <r>
          <rPr>
            <sz val="10"/>
            <rFont val="Arial"/>
            <family val="2"/>
          </rPr>
          <t xml:space="preserve">Formula; don't type here. Clickable link to the posted draft, built from draft_url.</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M1" authorId="0">
      <text>
        <r>
          <rPr>
            <sz val="10"/>
            <rFont val="Arial"/>
            <family val="2"/>
          </rPr>
          <t xml:space="preserve">The regulation that goes with it.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N1" authorId="0">
      <text>
        <r>
          <rPr>
            <sz val="10"/>
            <rFont val="Arial"/>
            <family val="2"/>
          </rPr>
          <t xml:space="preserve">Status of the regulation.</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O1" authorId="0">
      <text>
        <r>
          <rPr>
            <sz val="10"/>
            <rFont val="Arial"/>
            <family val="2"/>
          </rPr>
          <t xml:space="preserve">Board adoption date, once adopted.</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P1" authorId="0">
      <text>
        <r>
          <rPr>
            <sz val="10"/>
            <rFont val="Arial"/>
            <family val="2"/>
          </rPr>
          <t xml:space="preserve">Formula; don't type here. Action date plus the regulation target in About.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Q1" authorId="0">
      <text>
        <r>
          <rPr>
            <sz val="10"/>
            <rFont val="Arial"/>
            <family val="2"/>
          </rPr>
          <t xml:space="preserve">Formula; don't type here. Newest frozen version in Versions.</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R1" authorId="0">
      <text>
        <r>
          <rPr>
            <sz val="10"/>
            <rFont val="Arial"/>
            <family val="2"/>
          </rPr>
          <t xml:space="preserve">Formula; don't type here. Comments logged for this code.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S1" authorId="0">
      <text>
        <r>
          <rPr>
            <sz val="10"/>
            <rFont val="Arial"/>
            <family val="2"/>
          </rPr>
          <t xml:space="preserve">Formula; don't type here. Comments still open.</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T1" authorId="0">
      <text>
        <r>
          <rPr>
            <sz val="10"/>
            <rFont val="Arial"/>
            <family val="2"/>
          </rPr>
          <t xml:space="preserve">Formula; don't type here. Deferred edits waiting for this code.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U1" authorId="0">
      <text>
        <r>
          <rPr>
            <sz val="10"/>
            <rFont val="Arial"/>
            <family val="2"/>
          </rPr>
          <t xml:space="preserve">Formula; don't type here. Needs attention as of the As of date.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V1" authorId="0">
      <text>
        <r>
          <rPr>
            <sz val="10"/>
            <rFont val="Arial"/>
            <family val="2"/>
          </rPr>
          <t xml:space="preserve">Where the row came from.</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W1" authorId="0">
      <text>
        <r>
          <rPr>
            <sz val="10"/>
            <rFont val="Arial"/>
            <family val="2"/>
          </rPr>
          <t xml:space="preserve">Paste the Simbli link to the adopted version here.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 ref="X1" authorId="0">
      <text>
        <r>
          <rPr>
            <sz val="10"/>
            <rFont val="Arial"/>
            <family val="2"/>
          </rPr>
          <t xml:space="preserve">Paste the Simbli link to the draft posted for comment here.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2</xdr:col>
                <xdr:colOff>65</xdr:colOff>
                <xdr:row>1</xdr:row>
                <xdr:rowOff>60</xdr:rowOff>
              </xdr:to>
            </anchor>
          </commentPr>
        </mc:Choice>
        <mc:Fallback/>
      </mc:AlternateContent>
    </comment>
  </commentList>
</comments>
</file>

<file path=xl/comments5.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Unknown Author</author>
  </authors>
  <commentList>
    <comment ref="A1" authorId="0">
      <text>
        <r>
          <rPr>
            <sz val="10"/>
            <rFont val="Arial"/>
            <family val="2"/>
          </rPr>
          <t xml:space="preserve">Filled in ahead of time. Start typing in the first row with no code.</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B1" authorId="0">
      <text>
        <r>
          <rPr>
            <sz val="10"/>
            <rFont val="Arial"/>
            <family val="2"/>
          </rPr>
          <t xml:space="preserve">Pick from the list of Drafts codes. A code not in Drafts gets a warning.</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C1" authorId="0">
      <text>
        <r>
          <rPr>
            <sz val="10"/>
            <rFont val="Arial"/>
            <family val="2"/>
          </rPr>
          <t xml:space="preserve">Date received or raised.</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D1" authorId="0">
      <text>
        <r>
          <rPr>
            <sz val="10"/>
            <rFont val="Arial"/>
            <family val="2"/>
          </rPr>
          <t xml:space="preserve">Public, Board member or Staff. No names.</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E1" authorId="0">
      <text>
        <r>
          <rPr>
            <sz val="10"/>
            <rFont val="Arial"/>
            <family val="2"/>
          </rPr>
          <t xml:space="preserve">How it came in.</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F1" authorId="0">
      <text>
        <r>
          <rPr>
            <sz val="10"/>
            <rFont val="Arial"/>
            <family val="2"/>
          </rPr>
          <t xml:space="preserve">Which version the person was reading.</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G1" authorId="0">
      <text>
        <r>
          <rPr>
            <sz val="10"/>
            <rFont val="Arial"/>
            <family val="2"/>
          </rPr>
          <t xml:space="preserve">Section of the policy.</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H1" authorId="0">
      <text>
        <r>
          <rPr>
            <sz val="10"/>
            <rFont val="Arial"/>
            <family val="2"/>
          </rPr>
          <t xml:space="preserve">What they said, in one or two sentences.</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I1" authorId="0">
      <text>
        <r>
          <rPr>
            <sz val="10"/>
            <rFont val="Arial"/>
            <family val="2"/>
          </rPr>
          <t xml:space="preserve">Where it goes. See the Comment flow tab.</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J1" authorId="0">
      <text>
        <r>
          <rPr>
            <sz val="10"/>
            <rFont val="Arial"/>
            <family val="2"/>
          </rPr>
          <t xml:space="preserve">The recorded response.</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K1" authorId="0">
      <text>
        <r>
          <rPr>
            <sz val="10"/>
            <rFont val="Arial"/>
            <family val="2"/>
          </rPr>
          <t xml:space="preserve">Office that responded.</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L1" authorId="0">
      <text>
        <r>
          <rPr>
            <sz val="10"/>
            <rFont val="Arial"/>
            <family val="2"/>
          </rPr>
          <t xml:space="preserve">Date the route and response were recorded.</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M1" authorId="0">
      <text>
        <r>
          <rPr>
            <sz val="10"/>
            <rFont val="Arial"/>
            <family val="2"/>
          </rPr>
          <t xml:space="preserve">Formula; don't type here. Destination for the route (from the Comment flow tab).</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N1" authorId="0">
      <text>
        <r>
          <rPr>
            <sz val="10"/>
            <rFont val="Arial"/>
            <family val="2"/>
          </rPr>
          <t xml:space="preserve">Formula; don't type here. Open until a route other than Open is recorded with a resolved date.</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O1" authorId="0">
      <text>
        <r>
          <rPr>
            <sz val="10"/>
            <rFont val="Arial"/>
            <family val="2"/>
          </rPr>
          <t xml:space="preserve">Where the row came from.</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 ref="P1" authorId="0">
      <text>
        <r>
          <rPr>
            <sz val="10"/>
            <rFont val="Arial"/>
            <family val="2"/>
          </rPr>
          <t xml:space="preserve">Formula; don't type here. For Save for a later revision: Yes once a Deferred edits row names this comment.</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13</xdr:colOff>
                <xdr:row>2</xdr:row>
                <xdr:rowOff>28</xdr:rowOff>
              </xdr:to>
            </anchor>
          </commentPr>
        </mc:Choice>
        <mc:Fallback/>
      </mc:AlternateContent>
    </comment>
  </commentList>
</comments>
</file>

<file path=xl/comments6.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Unknown Author</author>
  </authors>
  <commentList>
    <comment ref="A1" authorId="0">
      <text>
        <r>
          <rPr>
            <sz val="10"/>
            <rFont val="Arial"/>
            <family val="2"/>
          </rPr>
          <t xml:space="preserve">Filled in ahead of time. Start typing in the first row with no code.</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B1" authorId="0">
      <text>
        <r>
          <rPr>
            <sz val="10"/>
            <rFont val="Arial"/>
            <family val="2"/>
          </rPr>
          <t xml:space="preserve">Policy or regulation code.</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C1" authorId="0">
      <text>
        <r>
          <rPr>
            <sz val="10"/>
            <rFont val="Arial"/>
            <family val="2"/>
          </rPr>
          <t xml:space="preserve">Formula; don't type here. Numbers itself by date within each code: 1, 2, 3.</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D1" authorId="0">
      <text>
        <r>
          <rPr>
            <sz val="10"/>
            <rFont val="Arial"/>
            <family val="2"/>
          </rPr>
          <t xml:space="preserve">Date saved or posted.</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E1" authorId="0">
      <text>
        <r>
          <rPr>
            <sz val="10"/>
            <rFont val="Arial"/>
            <family val="2"/>
          </rPr>
          <t xml:space="preserve">Posted for board reading, committee packet, or working draft.</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F1" authorId="0">
      <text>
        <r>
          <rPr>
            <sz val="10"/>
            <rFont val="Arial"/>
            <family val="2"/>
          </rPr>
          <t xml:space="preserve">Where the file lives. Rule: Simbli or the shared district folder only.</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G1" authorId="0">
      <text>
        <r>
          <rPr>
            <sz val="10"/>
            <rFont val="Arial"/>
            <family val="2"/>
          </rPr>
          <t xml:space="preserve">Link to the file.</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H1" authorId="0">
      <text>
        <r>
          <rPr>
            <sz val="10"/>
            <rFont val="Arial"/>
            <family val="2"/>
          </rPr>
          <t xml:space="preserve">Yes once posted or sent in a packet. Frozen versions are never edited.</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I1" authorId="0">
      <text>
        <r>
          <rPr>
            <sz val="10"/>
            <rFont val="Arial"/>
            <family val="2"/>
          </rPr>
          <t xml:space="preserve">What changed since the previous version: the line the board sees.</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J1" authorId="0">
      <text>
        <r>
          <rPr>
            <sz val="10"/>
            <rFont val="Arial"/>
            <family val="2"/>
          </rPr>
          <t xml:space="preserve">Packet check: agreed edits are in.</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K1" authorId="0">
      <text>
        <r>
          <rPr>
            <sz val="10"/>
            <rFont val="Arial"/>
            <family val="2"/>
          </rPr>
          <t xml:space="preserve">Packet check: related policies checked.</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L1" authorId="0">
      <text>
        <r>
          <rPr>
            <sz val="10"/>
            <rFont val="Arial"/>
            <family val="2"/>
          </rPr>
          <t xml:space="preserve">Packet check: dates, codes and boilerplate checked.</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M1" authorId="0">
      <text>
        <r>
          <rPr>
            <sz val="10"/>
            <rFont val="Arial"/>
            <family val="2"/>
          </rPr>
          <t xml:space="preserve">Formula; don't type here. Yes on the newest frozen version of each code.</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N1" authorId="0">
      <text>
        <r>
          <rPr>
            <sz val="10"/>
            <rFont val="Arial"/>
            <family val="2"/>
          </rPr>
          <t xml:space="preserve">Formula; don't type here. Complete when all three checks are Yes on a frozen version.</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O1" authorId="0">
      <text>
        <r>
          <rPr>
            <sz val="10"/>
            <rFont val="Arial"/>
            <family val="2"/>
          </rPr>
          <t xml:space="preserve">Formula; don't type here. Yes when the file is in Simbli or the shared folder.</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 ref="P1" authorId="0">
      <text>
        <r>
          <rPr>
            <sz val="10"/>
            <rFont val="Arial"/>
            <family val="2"/>
          </rPr>
          <t xml:space="preserve">Where the row came from.</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4</xdr:col>
                <xdr:colOff>43</xdr:colOff>
                <xdr:row>2</xdr:row>
                <xdr:rowOff>28</xdr:rowOff>
              </xdr:to>
            </anchor>
          </commentPr>
        </mc:Choice>
        <mc:Fallback/>
      </mc:AlternateContent>
    </comment>
  </commentList>
</comments>
</file>

<file path=xl/comments7.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Unknown Author</author>
  </authors>
  <commentList>
    <comment ref="A1" authorId="0">
      <text>
        <r>
          <rPr>
            <sz val="10"/>
            <rFont val="Arial"/>
            <family val="2"/>
          </rPr>
          <t xml:space="preserve">Filled in ahead of time. Start typing in the first row with no to_code.</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3</xdr:col>
                <xdr:colOff>102</xdr:colOff>
                <xdr:row>3</xdr:row>
                <xdr:rowOff>8</xdr:rowOff>
              </xdr:to>
            </anchor>
          </commentPr>
        </mc:Choice>
        <mc:Fallback/>
      </mc:AlternateContent>
    </comment>
    <comment ref="B1" authorId="0">
      <text>
        <r>
          <rPr>
            <sz val="10"/>
            <rFont val="Arial"/>
            <family val="2"/>
          </rPr>
          <t xml:space="preserve">Code being reviewed when the edit was agreed, or Corpus check.</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3</xdr:col>
                <xdr:colOff>102</xdr:colOff>
                <xdr:row>3</xdr:row>
                <xdr:rowOff>8</xdr:rowOff>
              </xdr:to>
            </anchor>
          </commentPr>
        </mc:Choice>
        <mc:Fallback/>
      </mc:AlternateContent>
    </comment>
    <comment ref="C1" authorId="0">
      <text>
        <r>
          <rPr>
            <sz val="10"/>
            <rFont val="Arial"/>
            <family val="2"/>
          </rPr>
          <t xml:space="preserve">The document that will receive the edit.</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3</xdr:col>
                <xdr:colOff>102</xdr:colOff>
                <xdr:row>3</xdr:row>
                <xdr:rowOff>8</xdr:rowOff>
              </xdr:to>
            </anchor>
          </commentPr>
        </mc:Choice>
        <mc:Fallback/>
      </mc:AlternateContent>
    </comment>
    <comment ref="D1" authorId="0">
      <text>
        <r>
          <rPr>
            <sz val="10"/>
            <rFont val="Arial"/>
            <family val="2"/>
          </rPr>
          <t xml:space="preserve">What to change.</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3</xdr:col>
                <xdr:colOff>102</xdr:colOff>
                <xdr:row>3</xdr:row>
                <xdr:rowOff>8</xdr:rowOff>
              </xdr:to>
            </anchor>
          </commentPr>
        </mc:Choice>
        <mc:Fallback/>
      </mc:AlternateContent>
    </comment>
    <comment ref="E1" authorId="0">
      <text>
        <r>
          <rPr>
            <sz val="10"/>
            <rFont val="Arial"/>
            <family val="2"/>
          </rPr>
          <t xml:space="preserve">Date agreed or found.</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3</xdr:col>
                <xdr:colOff>102</xdr:colOff>
                <xdr:row>3</xdr:row>
                <xdr:rowOff>8</xdr:rowOff>
              </xdr:to>
            </anchor>
          </commentPr>
        </mc:Choice>
        <mc:Fallback/>
      </mc:AlternateContent>
    </comment>
    <comment ref="F1" authorId="0">
      <text>
        <r>
          <rPr>
            <sz val="10"/>
            <rFont val="Arial"/>
            <family val="2"/>
          </rPr>
          <t xml:space="preserve">When: next revision of to_code, or by a date.</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3</xdr:col>
                <xdr:colOff>102</xdr:colOff>
                <xdr:row>3</xdr:row>
                <xdr:rowOff>8</xdr:rowOff>
              </xdr:to>
            </anchor>
          </commentPr>
        </mc:Choice>
        <mc:Fallback/>
      </mc:AlternateContent>
    </comment>
    <comment ref="G1" authorId="0">
      <text>
        <r>
          <rPr>
            <sz val="10"/>
            <rFont val="Arial"/>
            <family val="2"/>
          </rPr>
          <t xml:space="preserve">Waiting, Picked up, Done or Dropped.</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3</xdr:col>
                <xdr:colOff>102</xdr:colOff>
                <xdr:row>3</xdr:row>
                <xdr:rowOff>8</xdr:rowOff>
              </xdr:to>
            </anchor>
          </commentPr>
        </mc:Choice>
        <mc:Fallback/>
      </mc:AlternateContent>
    </comment>
    <comment ref="H1" authorId="0">
      <text>
        <r>
          <rPr>
            <sz val="10"/>
            <rFont val="Arial"/>
            <family val="2"/>
          </rPr>
          <t xml:space="preserve">Formula; don't type here. Yes when to_code is in the Drafts tab and not adopted.</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3</xdr:col>
                <xdr:colOff>102</xdr:colOff>
                <xdr:row>3</xdr:row>
                <xdr:rowOff>8</xdr:rowOff>
              </xdr:to>
            </anchor>
          </commentPr>
        </mc:Choice>
        <mc:Fallback/>
      </mc:AlternateContent>
    </comment>
    <comment ref="I1" authorId="0">
      <text>
        <r>
          <rPr>
            <sz val="10"/>
            <rFont val="Arial"/>
            <family val="2"/>
          </rPr>
          <t xml:space="preserve">Formula; don't type here. Ready to pick up once the receiving document is under review.</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3</xdr:col>
                <xdr:colOff>102</xdr:colOff>
                <xdr:row>3</xdr:row>
                <xdr:rowOff>8</xdr:rowOff>
              </xdr:to>
            </anchor>
          </commentPr>
        </mc:Choice>
        <mc:Fallback/>
      </mc:AlternateContent>
    </comment>
    <comment ref="J1" authorId="0">
      <text>
        <r>
          <rPr>
            <sz val="10"/>
            <rFont val="Arial"/>
            <family val="2"/>
          </rPr>
          <t xml:space="preserve">Where the row came from.</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3</xdr:col>
                <xdr:colOff>102</xdr:colOff>
                <xdr:row>3</xdr:row>
                <xdr:rowOff>8</xdr:rowOff>
              </xdr:to>
            </anchor>
          </commentPr>
        </mc:Choice>
        <mc:Fallback/>
      </mc:AlternateContent>
    </comment>
    <comment ref="K1" authorId="0">
      <text>
        <r>
          <rPr>
            <sz val="10"/>
            <rFont val="Arial"/>
            <family val="2"/>
          </rPr>
          <t xml:space="preserve">The comment ID this edit came from, if any (C-nnn).</t>
        </r>
      </text>
      <mc:AlternateContent>
        <mc:Choice Requires="v2">
          <commentPr autoFill="true" autoScale="false" colHidden="false" locked="false" rowHidden="false" textHAlign="justify" textVAlign="top">
            <anchor moveWithCells="false" sizeWithCells="false">
              <xdr:from>
                <xdr:col>1</xdr:col>
                <xdr:colOff>5</xdr:colOff>
                <xdr:row>0</xdr:row>
                <xdr:rowOff>2</xdr:rowOff>
              </xdr:from>
              <xdr:to>
                <xdr:col>3</xdr:col>
                <xdr:colOff>102</xdr:colOff>
                <xdr:row>3</xdr:row>
                <xdr:rowOff>8</xdr:rowOff>
              </xdr:to>
            </anchor>
          </commentPr>
        </mc:Choice>
        <mc:Fallback/>
      </mc:AlternateContent>
    </comment>
  </commentList>
</comments>
</file>

<file path=xl/sharedStrings.xml><?xml version="1.0" encoding="utf-8"?>
<sst xmlns="http://schemas.openxmlformats.org/spreadsheetml/2006/main" count="3529" uniqueCount="3174">
  <si>
    <t xml:space="preserve">Policy review status</t>
  </si>
  <si>
    <t xml:space="preserve">Policies in review</t>
  </si>
  <si>
    <t xml:space="preserve">Back in committee</t>
  </si>
  <si>
    <t xml:space="preserve">Open comments</t>
  </si>
  <si>
    <t xml:space="preserve">Regulations in progress</t>
  </si>
  <si>
    <t xml:space="preserve">Saved edits waiting</t>
  </si>
  <si>
    <t xml:space="preserve">Key</t>
  </si>
  <si>
    <t xml:space="preserve">On a board agenda</t>
  </si>
  <si>
    <t xml:space="preserve">Committee's move</t>
  </si>
  <si>
    <t xml:space="preserve">Waiting: held, drafting, regulation work</t>
  </si>
  <si>
    <t xml:space="preserve">Adopted, regulation still open</t>
  </si>
  <si>
    <t xml:space="preserve">Needs attention</t>
  </si>
  <si>
    <t xml:space="preserve">Policy</t>
  </si>
  <si>
    <t xml:space="preserve">Title</t>
  </si>
  <si>
    <t xml:space="preserve">Stage</t>
  </si>
  <si>
    <t xml:space="preserve">Last action</t>
  </si>
  <si>
    <t xml:space="preserve">Next step</t>
  </si>
  <si>
    <t xml:space="preserve">Next date</t>
  </si>
  <si>
    <t xml:space="preserve">Regulation</t>
  </si>
  <si>
    <t xml:space="preserve">Edits saved for a later revision</t>
  </si>
  <si>
    <t xml:space="preserve">Goes into</t>
  </si>
  <si>
    <t xml:space="preserve">Edit</t>
  </si>
  <si>
    <t xml:space="preserve">Agreed</t>
  </si>
  <si>
    <t xml:space="preserve">Status</t>
  </si>
  <si>
    <t xml:space="preserve">Board and staff feedback: Word redlines or the feedback form, so every comment is logged once. Public comment: online, during each comment window. Stages and dates come from public meeting records; staff confirm before each packet. Independent sample built by Samantha Rubin from public records. Not a district document.</t>
  </si>
  <si>
    <t xml:space="preserve">How to use this workbook</t>
  </si>
  <si>
    <t xml:space="preserve">Type only in Drafts, Comments, Versions, Deferred edits and the dates in About. Status and the Policy card fill themselves in.</t>
  </si>
  <si>
    <t xml:space="preserve">Task</t>
  </si>
  <si>
    <t xml:space="preserve">Where</t>
  </si>
  <si>
    <t xml:space="preserve">Steps</t>
  </si>
  <si>
    <t xml:space="preserve">Look up one policy</t>
  </si>
  <si>
    <t xml:space="preserve">Policy card</t>
  </si>
  <si>
    <t xml:space="preserve">Click the code at the top (cell C3) and pick a policy from the list.
The card fills in its stage, links, regulation, versions, comments and saved edits.
In a file several people have open at once, the selection is shared: changing it changes the card for everyone.</t>
  </si>
  <si>
    <t xml:space="preserve">Get ready for a committee meeting</t>
  </si>
  <si>
    <t xml:space="preserve">About, Drafts, Status, Policy card</t>
  </si>
  <si>
    <t xml:space="preserve">1. In About, update As of, Record through and Next committee meeting.
2. In Drafts, update each open row: stage, last action and date, next step and date.
3. Look for rose cells in Drafts, Comments and Versions, and deal with each one.
4. Export Status as a PDF (File &gt; Export, current sheet). It prints on one page.
5. For each policy on the agenda, pick it on the Policy card and export that page too.</t>
  </si>
  <si>
    <t xml:space="preserve">Add a policy or regulation</t>
  </si>
  <si>
    <t xml:space="preserve">Drafts</t>
  </si>
  <si>
    <t xml:space="preserve">Type in the first empty row. Every other tab picks it up.
Each code gets one row. Excel stops a code that already has a row.
A new policy without a code yet gets a placeholder: NEW-2, NEW-3 and so on.
Fill in title, type, content owner, stage, last action and date, next step and date, and the regulation.
Paste Simbli links into current_url and draft_url. The clickable Simbli links build themselves.</t>
  </si>
  <si>
    <t xml:space="preserve">Return a redline (board and staff)</t>
  </si>
  <si>
    <t xml:space="preserve">Word comments folder</t>
  </si>
  <si>
    <t xml:space="preserve">Board members and staff comment in Word on the redline, as they do now, and send it back by email or the shared folder.
Staff save each returned file to the Word comments folder as CODE_vN_date_purpose.docx, for example KEB_v4_2026-10-28_committee.docx.
Planned: one refresh pulls every comment from every file, with the sentence it is attached to. Until then, log each one by hand.</t>
  </si>
  <si>
    <t xml:space="preserve">Use the feedback form</t>
  </si>
  <si>
    <t xml:space="preserve">Feedback form</t>
  </si>
  <si>
    <t xml:space="preserve">For feedback not written in a redline: a question, a request or a general comment.
Each answer goes into the matching Comments column (see the Feedback form tab). Set channel to Board feedback form.</t>
  </si>
  <si>
    <t xml:space="preserve">Log a comment</t>
  </si>
  <si>
    <t xml:space="preserve">Comments</t>
  </si>
  <si>
    <t xml:space="preserve">Start in the first row with no code. The ID is already filled in and never changes.
Pick the code from the list (Excel warns if it isn't in Drafts). Set from to Public, Board member or Staff, never a name.
Fill in channel, version_read, section, and the comment in one or two sentences, plus where it came from in source.
Leave route blank until it is decided. Until then the row shows Open.</t>
  </si>
  <si>
    <t xml:space="preserve">Route and answer a comment</t>
  </si>
  <si>
    <t xml:space="preserve">Pick the route. goes_to fills in from the routes table on the Comment flow tab.
Record the response, the responding office and date_resolved. The row turns Closed.
Open: needs a decision stays Open; it belongs on the next committee agenda.
Save for a later revision: also add a row in Deferred edits with the comment's ID in from_comment. Until you do, deferred_check shows a rose reminder.</t>
  </si>
  <si>
    <t xml:space="preserve">Save a new version</t>
  </si>
  <si>
    <t xml:space="preserve">Versions</t>
  </si>
  <si>
    <t xml:space="preserve">Add a row whenever the text changes after a version was frozen: code, date, purpose and what changed. The version number fills itself in.
Set home to Simbli or Shared folder only. Paste the file link.
Set frozen to Yes once a version is posted or sent in a packet. Never edit a frozen file; changes go in a new version.
Before a packet, mark the three checks Yes. The newest frozen version becomes official on its own.</t>
  </si>
  <si>
    <t xml:space="preserve">Save an edit for later</t>
  </si>
  <si>
    <t xml:space="preserve">Deferred edits</t>
  </si>
  <si>
    <t xml:space="preserve">Add a row: raised_in, to_code, the edit, the date agreed, status Waiting, and from_comment if it came from a comment.
When to_code is added to Drafts or reopened, the alert reads Ready to pick up.
Set status to Picked up once the edit is in the new draft, Done after adoption, or Dropped if the committee decides against it.</t>
  </si>
  <si>
    <t xml:space="preserve">Close out a policy</t>
  </si>
  <si>
    <t xml:space="preserve">Adopted: set stage to Adopted and enter action_date (the board vote). regulation_due fills in from the target in About.
An adopted policy stays on Status until regulation_status is Complete or Not needed, so the regulation is not forgotten.
Withdrawn: set stage to Withdrawn. It leaves Status.
Pulled before a vote: set stage to Back in committee and record the next step.
Not adopted: BDC-R(1) returns the draft to the superintendent or designee for refinement and a later vote, or it is abandoned. Set the stage to Drafting with a note, or to Withdrawn if it is abandoned.
Never delete a row. Closed rows are the record, and the Policy card still shows them.</t>
  </si>
  <si>
    <t xml:space="preserve">Reopen a policy</t>
  </si>
  <si>
    <t xml:space="preserve">Find its existing row and change the stage. Update last action and next step.
Don't add a second row for the same code. Versions continue from the last number.
Any edits saved for that code show Ready to pick up.</t>
  </si>
  <si>
    <t xml:space="preserve">Give a new policy its code</t>
  </si>
  <si>
    <t xml:space="preserve">All tabs</t>
  </si>
  <si>
    <t xml:space="preserve">Home &gt; Find &amp; Select &gt; Replace. Find NEW-1, replace with the new code.
Set Within to Workbook, check Match entire cell contents, then Replace All. Every tab follows.</t>
  </si>
  <si>
    <t xml:space="preserve">Read the colors</t>
  </si>
  <si>
    <t xml:space="preserve">Stage: blue is on a board agenda; amber is the committee's move; gray is waiting; green is closed.
Policy card rows: rose is an open comment staff still need to route or answer; amber is waiting on a committee decision; green is the official version; gray is a working draft.
Rose: needs attention (a date within 7 days or passed, an open comment, an edit ready to pick up, an incomplete packet check, a code entered twice).
Lavender: not from the public record (invented examples or proposals for staff to confirm).
Headers: dark means type here; lighter means a formula, so don't type in it.</t>
  </si>
  <si>
    <t xml:space="preserve">Room to grow</t>
  </si>
  <si>
    <t xml:space="preserve">Rows ready for entry: 250 in Drafts, 2,000 in Comments, 500 in Versions, 200 in Deferred edits.
Status shows 16 open items and says when there are more. The Policy card shows 20 comments per policy, open ones first, and says when there are more.</t>
  </si>
  <si>
    <t xml:space="preserve">Keep it working</t>
  </si>
  <si>
    <t xml:space="preserve">Don't delete rows, insert columns or type in lighter-header columns.
Sorting and filtering any table is fine.</t>
  </si>
  <si>
    <t xml:space="preserve">Pick a policy</t>
  </si>
  <si>
    <t xml:space="preserve">KEB</t>
  </si>
  <si>
    <t xml:space="preserve">◀ choose from the list</t>
  </si>
  <si>
    <t xml:space="preserve">Policy name</t>
  </si>
  <si>
    <t xml:space="preserve">Type</t>
  </si>
  <si>
    <t xml:space="preserve">Regulation status</t>
  </si>
  <si>
    <t xml:space="preserve">Regulation due</t>
  </si>
  <si>
    <t xml:space="preserve">Content owner</t>
  </si>
  <si>
    <t xml:space="preserve">Current policy</t>
  </si>
  <si>
    <t xml:space="preserve">Last action date</t>
  </si>
  <si>
    <t xml:space="preserve">Draft posted for comment</t>
  </si>
  <si>
    <t xml:space="preserve">Official version</t>
  </si>
  <si>
    <t xml:space="preserve">What's changing</t>
  </si>
  <si>
    <t xml:space="preserve">Version</t>
  </si>
  <si>
    <t xml:space="preserve">No.</t>
  </si>
  <si>
    <t xml:space="preserve">Date</t>
  </si>
  <si>
    <t xml:space="preserve">Purpose</t>
  </si>
  <si>
    <t xml:space="preserve">Home</t>
  </si>
  <si>
    <t xml:space="preserve">What changed</t>
  </si>
  <si>
    <t xml:space="preserve">Frozen</t>
  </si>
  <si>
    <t xml:space="preserve">Official</t>
  </si>
  <si>
    <t xml:space="preserve">Questions, answers and other feedback</t>
  </si>
  <si>
    <t xml:space="preserve">From</t>
  </si>
  <si>
    <t xml:space="preserve">Channel</t>
  </si>
  <si>
    <t xml:space="preserve">Section</t>
  </si>
  <si>
    <t xml:space="preserve">Route</t>
  </si>
  <si>
    <t xml:space="preserve">Comment</t>
  </si>
  <si>
    <t xml:space="preserve">Response</t>
  </si>
  <si>
    <t xml:space="preserve">Edits saved for later that involve this policy</t>
  </si>
  <si>
    <t xml:space="preserve">ID</t>
  </si>
  <si>
    <t xml:space="preserve">Raised in</t>
  </si>
  <si>
    <t xml:space="preserve">Alert</t>
  </si>
  <si>
    <t xml:space="preserve">code</t>
  </si>
  <si>
    <t xml:space="preserve">title</t>
  </si>
  <si>
    <t xml:space="preserve">type</t>
  </si>
  <si>
    <t xml:space="preserve">content_owner</t>
  </si>
  <si>
    <t xml:space="preserve">stage</t>
  </si>
  <si>
    <t xml:space="preserve">last_action</t>
  </si>
  <si>
    <t xml:space="preserve">last_action_date</t>
  </si>
  <si>
    <t xml:space="preserve">next_step</t>
  </si>
  <si>
    <t xml:space="preserve">next_date</t>
  </si>
  <si>
    <t xml:space="preserve">whats_changing</t>
  </si>
  <si>
    <t xml:space="preserve">current_link</t>
  </si>
  <si>
    <t xml:space="preserve">posted_draft_link</t>
  </si>
  <si>
    <t xml:space="preserve">regulation</t>
  </si>
  <si>
    <t xml:space="preserve">regulation_status</t>
  </si>
  <si>
    <t xml:space="preserve">action_date</t>
  </si>
  <si>
    <t xml:space="preserve">regulation_due</t>
  </si>
  <si>
    <t xml:space="preserve">official_version</t>
  </si>
  <si>
    <t xml:space="preserve">comments</t>
  </si>
  <si>
    <t xml:space="preserve">open_comments</t>
  </si>
  <si>
    <t xml:space="preserve">saved_edits</t>
  </si>
  <si>
    <t xml:space="preserve">flag</t>
  </si>
  <si>
    <t xml:space="preserve">source</t>
  </si>
  <si>
    <t xml:space="preserve">current_url</t>
  </si>
  <si>
    <t xml:space="preserve">draft_url</t>
  </si>
  <si>
    <t xml:space="preserve">BA</t>
  </si>
  <si>
    <t xml:space="preserve">Goals and Objectives</t>
  </si>
  <si>
    <t xml:space="preserve">Policy (new)</t>
  </si>
  <si>
    <t xml:space="preserve">Access and Opportunity</t>
  </si>
  <si>
    <t xml:space="preserve">Board took it off the action agenda and returned it to committee.</t>
  </si>
  <si>
    <t xml:space="preserve">Committee revisits the title and placement, the implementation plan and the draft regulation.</t>
  </si>
  <si>
    <t xml:space="preserve">New policy on access and opportunity: commitments, data monitoring and transparency, enforcement, legal compliance.</t>
  </si>
  <si>
    <t xml:space="preserve">BA regulation</t>
  </si>
  <si>
    <t xml:space="preserve">Draft exists</t>
  </si>
  <si>
    <t xml:space="preserve">Public record: Oct 5 board meeting</t>
  </si>
  <si>
    <t xml:space="preserve">https://simbli.eboardsolutions.com/Policy/ViewPolicy.aspx?S=4054&amp;revid=EVcNNgzCCvQaTXsZyQH8dw==</t>
  </si>
  <si>
    <t xml:space="preserve">JAA</t>
  </si>
  <si>
    <t xml:space="preserve">Equal Educational Opportunities</t>
  </si>
  <si>
    <t xml:space="preserve">Policy (revision)</t>
  </si>
  <si>
    <t xml:space="preserve">Board took it off the action agenda with BA and returned it to committee.</t>
  </si>
  <si>
    <t xml:space="preserve">Committee revisits it with BA, including whether to combine BA, JAA and GAAA.</t>
  </si>
  <si>
    <t xml:space="preserve">Revision that removes overlap with BA.</t>
  </si>
  <si>
    <t xml:space="preserve">None noted</t>
  </si>
  <si>
    <t xml:space="preserve">To confirm</t>
  </si>
  <si>
    <t xml:space="preserve">https://simbli.eboardsolutions.com/Policy/ViewPolicy.aspx?S=4054&amp;revid=AidLCSIgZacYcQJuVjYupA==</t>
  </si>
  <si>
    <t xml:space="preserve">https://simbli.eboardsolutions.com/Policy/ViewPolicy.aspx?S=4054&amp;revid=FupPPql4Q4NTplusoqslshqlGy5g==</t>
  </si>
  <si>
    <t xml:space="preserve">Solicitations</t>
  </si>
  <si>
    <t xml:space="preserve">Second read</t>
  </si>
  <si>
    <t xml:space="preserve">Second reading on the board's consent agenda. Committee agreed edits on Oct 1.</t>
  </si>
  <si>
    <t xml:space="preserve">Committee reviews the revised draft with the Oct 1 edits.</t>
  </si>
  <si>
    <t xml:space="preserve">Adds scope, a Foundation section and limits on donor influence.</t>
  </si>
  <si>
    <t xml:space="preserve">KEB-R(1)</t>
  </si>
  <si>
    <t xml:space="preserve">Exists, update to match</t>
  </si>
  <si>
    <t xml:space="preserve">https://simbli.eboardsolutions.com/Policy/ViewPolicy.aspx?S=4054&amp;revid=brPWx18AD9dPHmTpRNrPVw==</t>
  </si>
  <si>
    <t xml:space="preserve">https://simbli.eboardsolutions.com/Policy/ViewPolicy.aspx?S=4054&amp;revid=t2liMYmYJqH0ai2plusKo5oplusA==</t>
  </si>
  <si>
    <t xml:space="preserve">BBBE</t>
  </si>
  <si>
    <t xml:space="preserve">Board Member Compensation and Expenses</t>
  </si>
  <si>
    <t xml:space="preserve">First read: comment window</t>
  </si>
  <si>
    <t xml:space="preserve">First reading on the board's consent agenda.</t>
  </si>
  <si>
    <t xml:space="preserve">Board suggestion window closes (about 14 days, BDC-R(1)); committee review follows (current practice).</t>
  </si>
  <si>
    <t xml:space="preserve">Separate travel and professional development budgets; limits on staff approving expenses over budget.</t>
  </si>
  <si>
    <t xml:space="preserve">https://simbli.eboardsolutions.com/Policy/ViewPolicy.aspx?S=4054&amp;revid=aMTr8Qfz3pfjua3a19THFQ==</t>
  </si>
  <si>
    <t xml:space="preserve">https://simbli.eboardsolutions.com/Policy/ViewPolicy.aspx?S=4054&amp;revid=nvgTxPXZlDRvplusXc31BnTXg==</t>
  </si>
  <si>
    <t xml:space="preserve">IFBI</t>
  </si>
  <si>
    <t xml:space="preserve">Artificial Intelligence</t>
  </si>
  <si>
    <t xml:space="preserve">Information Technology</t>
  </si>
  <si>
    <t xml:space="preserve">Held</t>
  </si>
  <si>
    <t xml:space="preserve">Second reading on the board's consent agenda. Committee asked for a staff workshop first (Sep 24).</t>
  </si>
  <si>
    <t xml:space="preserve">Staff workshop on IFBI, IFBG and the planned screen time policy, then committee. No return date in the public record yet.</t>
  </si>
  <si>
    <t xml:space="preserve">New AI policy: purpose, definitions, scope, guiding principles, data protection and privacy. Detail goes in staff and student regulations.</t>
  </si>
  <si>
    <t xml:space="preserve">Staff and student AI regulations</t>
  </si>
  <si>
    <t xml:space="preserve">Draft ready for Legal</t>
  </si>
  <si>
    <t xml:space="preserve">https://simbli.eboardsolutions.com/Policy/ViewPolicy.aspx?S=4054&amp;revid=nCtYhCWxvVL2EKdoeFhdVg==</t>
  </si>
  <si>
    <t xml:space="preserve">IFBG</t>
  </si>
  <si>
    <t xml:space="preserve">Internet Acceptable Use</t>
  </si>
  <si>
    <t xml:space="preserve">Second reading on the board's consent agenda. To be reviewed with IFBI (Sep 24).</t>
  </si>
  <si>
    <t xml:space="preserve">Same staff workshop as IFBI, then committee. No return date in the public record yet.</t>
  </si>
  <si>
    <t xml:space="preserve">Revision of the 2011 internet acceptable use policy.</t>
  </si>
  <si>
    <t xml:space="preserve">IFBG-R(1)</t>
  </si>
  <si>
    <t xml:space="preserve">https://simbli.eboardsolutions.com/Policy/ViewPolicy.aspx?S=4054&amp;revid=Xstr9mzDih1R0V4Wf8vj7A==</t>
  </si>
  <si>
    <t xml:space="preserve">https://simbli.eboardsolutions.com/Policy/ViewPolicy.aspx?S=4054&amp;revid=V4yb8EtMkypOQhz767mqcA==</t>
  </si>
  <si>
    <t xml:space="preserve">DO</t>
  </si>
  <si>
    <t xml:space="preserve">School Properties Disposal Procedures</t>
  </si>
  <si>
    <t xml:space="preserve">Added to the committee's list; held back from first reading.</t>
  </si>
  <si>
    <t xml:space="preserve">Committee schedules its review. No return date in the public record yet.</t>
  </si>
  <si>
    <t xml:space="preserve">Review of the 2013 policy.</t>
  </si>
  <si>
    <t xml:space="preserve">DO-R</t>
  </si>
  <si>
    <t xml:space="preserve">Public record: Sep 24 committee</t>
  </si>
  <si>
    <t xml:space="preserve">https://simbli.eboardsolutions.com/Policy/ViewPolicy.aspx?S=4054&amp;revid=uLIX3ysHXXTt67w4w99Haw==</t>
  </si>
  <si>
    <t xml:space="preserve">DJE</t>
  </si>
  <si>
    <t xml:space="preserve">Purchasing</t>
  </si>
  <si>
    <t xml:space="preserve">Review of the 2021 policy.</t>
  </si>
  <si>
    <t xml:space="preserve">DJE-R(1)</t>
  </si>
  <si>
    <t xml:space="preserve">https://simbli.eboardsolutions.com/Policy/ViewPolicy.aspx?S=4054&amp;revid=IsVaB6Z2x9NPZkwqJm84zQ==</t>
  </si>
  <si>
    <t xml:space="preserve">NEW-1</t>
  </si>
  <si>
    <t xml:space="preserve">Screen time</t>
  </si>
  <si>
    <t xml:space="preserve">Drafting</t>
  </si>
  <si>
    <t xml:space="preserve">Staff described a policy with regulations planned this semester.</t>
  </si>
  <si>
    <t xml:space="preserve">Reviewed with IFBI and IFBG.</t>
  </si>
  <si>
    <t xml:space="preserve">New policy on student screen time.</t>
  </si>
  <si>
    <t xml:space="preserve">Screen time regulation</t>
  </si>
  <si>
    <t xml:space="preserve">Planned</t>
  </si>
  <si>
    <t xml:space="preserve">Public record: Aug 26 committee</t>
  </si>
  <si>
    <t xml:space="preserve">BC reg</t>
  </si>
  <si>
    <t xml:space="preserve">Board Meetings regulation (amendment)</t>
  </si>
  <si>
    <t xml:space="preserve">Board Office</t>
  </si>
  <si>
    <t xml:space="preserve">Regulation work</t>
  </si>
  <si>
    <t xml:space="preserve">Board member requests on agenda timing logged for the regulation; board recognition criteria planned.</t>
  </si>
  <si>
    <t xml:space="preserve">Draft the amendment; share with the board before it is issued.</t>
  </si>
  <si>
    <t xml:space="preserve">Agenda materials timing and board recognition criteria.</t>
  </si>
  <si>
    <t xml:space="preserve">BC regulation</t>
  </si>
  <si>
    <t xml:space="preserve">https://simbli.eboardsolutions.com/Policy/ViewPolicy.aspx?S=4054&amp;revid=9mI7naMRmKUplusI5UuO3VTnw==</t>
  </si>
  <si>
    <t xml:space="preserve">LE regs</t>
  </si>
  <si>
    <t xml:space="preserve">School-Community Organizations regulations</t>
  </si>
  <si>
    <t xml:space="preserve">Regulations not yet posted; a booster club regulation was submitted for review.</t>
  </si>
  <si>
    <t xml:space="preserve">Finish the booster club regulation, then support organizations generally.</t>
  </si>
  <si>
    <t xml:space="preserve">Oversight of school support organizations, starting with booster clubs.</t>
  </si>
  <si>
    <t xml:space="preserve">LE regulations</t>
  </si>
  <si>
    <t xml:space="preserve">Public record: Oct 1 committee</t>
  </si>
  <si>
    <t xml:space="preserve">https://simbli.eboardsolutions.com/Policy/ViewPolicy.aspx?S=4054&amp;revid=IrzEplusrYpYqGqepqfDAgbyw==</t>
  </si>
  <si>
    <t xml:space="preserve">comment_id</t>
  </si>
  <si>
    <t xml:space="preserve">date_logged</t>
  </si>
  <si>
    <t xml:space="preserve">from</t>
  </si>
  <si>
    <t xml:space="preserve">channel</t>
  </si>
  <si>
    <t xml:space="preserve">version_read</t>
  </si>
  <si>
    <t xml:space="preserve">section</t>
  </si>
  <si>
    <t xml:space="preserve">comment</t>
  </si>
  <si>
    <t xml:space="preserve">route</t>
  </si>
  <si>
    <t xml:space="preserve">response</t>
  </si>
  <si>
    <t xml:space="preserve">responding_office</t>
  </si>
  <si>
    <t xml:space="preserve">date_resolved</t>
  </si>
  <si>
    <t xml:space="preserve">goes_to</t>
  </si>
  <si>
    <t xml:space="preserve">status</t>
  </si>
  <si>
    <t xml:space="preserve">deferred_check</t>
  </si>
  <si>
    <t xml:space="preserve">C-001</t>
  </si>
  <si>
    <t xml:space="preserve">Public</t>
  </si>
  <si>
    <t xml:space="preserve">Online public comment</t>
  </si>
  <si>
    <t xml:space="preserve">First-read draft</t>
  </si>
  <si>
    <t xml:space="preserve">Data protection and privacy</t>
  </si>
  <si>
    <t xml:space="preserve">Policy isn't strict enough on privacy; asks about ethical use and credit to original authors.</t>
  </si>
  <si>
    <t xml:space="preserve">Move to the regulation</t>
  </si>
  <si>
    <t xml:space="preserve">Addressed in the AI regulation under development; the policy states the what, the regulation the how.</t>
  </si>
  <si>
    <t xml:space="preserve">Legal Affairs</t>
  </si>
  <si>
    <t xml:space="preserve">Public record: Jun 25 committee</t>
  </si>
  <si>
    <t xml:space="preserve">C-002</t>
  </si>
  <si>
    <t xml:space="preserve">Whole policy</t>
  </si>
  <si>
    <t xml:space="preserve">Asks for rules on student use of AI and academic dishonesty.</t>
  </si>
  <si>
    <t xml:space="preserve">Permitted and prohibited student uses go in the student regulation.</t>
  </si>
  <si>
    <t xml:space="preserve">C-003</t>
  </si>
  <si>
    <t xml:space="preserve">LDAJ</t>
  </si>
  <si>
    <t xml:space="preserve">Asks that the district not contract with third parties that share parent information with federal law enforcement, and that visitor check-in not discourage parent volunteers.</t>
  </si>
  <si>
    <t xml:space="preserve">Answered, no change</t>
  </si>
  <si>
    <t xml:space="preserve">A legal question; the policy doesn't conflict with it, and FERPA governs release of records.</t>
  </si>
  <si>
    <t xml:space="preserve">C-004</t>
  </si>
  <si>
    <t xml:space="preserve">Board member</t>
  </si>
  <si>
    <t xml:space="preserve">Email</t>
  </si>
  <si>
    <t xml:space="preserve">Second-read draft of BC</t>
  </si>
  <si>
    <t xml:space="preserve">Meeting agenda</t>
  </si>
  <si>
    <t xml:space="preserve">Asks for meeting materials five business days ahead, dated notice of late additions, and deferral of major items with late documents.</t>
  </si>
  <si>
    <t xml:space="preserve">Logged for the BC regulation amendment; the policy moved forward.</t>
  </si>
  <si>
    <t xml:space="preserve">C-005</t>
  </si>
  <si>
    <t xml:space="preserve">Second-read draft</t>
  </si>
  <si>
    <t xml:space="preserve">Data monitoring and transparency</t>
  </si>
  <si>
    <t xml:space="preserve">Asks to keep annual measurable goals and public reporting of progress.</t>
  </si>
  <si>
    <t xml:space="preserve">The deleted sentence on publicly reporting disaggregated data is logged for the BA regulation.</t>
  </si>
  <si>
    <t xml:space="preserve">C-006</t>
  </si>
  <si>
    <t xml:space="preserve">Supports the policy.</t>
  </si>
  <si>
    <t xml:space="preserve">Noted</t>
  </si>
  <si>
    <t xml:space="preserve">Logged.</t>
  </si>
  <si>
    <t xml:space="preserve">C-007</t>
  </si>
  <si>
    <t xml:space="preserve">Said at committee meeting</t>
  </si>
  <si>
    <t xml:space="preserve">Combine BA, JAA and GAAA into one policy instead of three.</t>
  </si>
  <si>
    <t xml:space="preserve">Open: needs a decision</t>
  </si>
  <si>
    <t xml:space="preserve">Committee kept them separate on Sep 24; the board raised it again on Oct 5.</t>
  </si>
  <si>
    <t xml:space="preserve">Committee</t>
  </si>
  <si>
    <t xml:space="preserve">Public record: Sep 24 committee; Oct 5 board</t>
  </si>
  <si>
    <t xml:space="preserve">C-008</t>
  </si>
  <si>
    <t xml:space="preserve">Word comment in draft</t>
  </si>
  <si>
    <t xml:space="preserve">Solicitations/Donations</t>
  </si>
  <si>
    <t xml:space="preserve">Is calling the Foundation an arm of the district accurate if it is an independent 501(c)(3)?</t>
  </si>
  <si>
    <t xml:space="preserve">Change the policy</t>
  </si>
  <si>
    <t xml:space="preserve">Reword: the Foundation implements philanthropic and strategic initiatives; add a sentence that it is an independent 501(c)(3) with its own board.</t>
  </si>
  <si>
    <t xml:space="preserve">C-009</t>
  </si>
  <si>
    <t xml:space="preserve">The policy should make clear the Foundation is a separate entity.</t>
  </si>
  <si>
    <t xml:space="preserve">Same change as the board member's comment above.</t>
  </si>
  <si>
    <t xml:space="preserve">C-010</t>
  </si>
  <si>
    <t xml:space="preserve">Scope</t>
  </si>
  <si>
    <t xml:space="preserve">The scope belongs at the top; the policy reads out of order.</t>
  </si>
  <si>
    <t xml:space="preserve">Move scope near the top and regroup the sections.</t>
  </si>
  <si>
    <t xml:space="preserve">C-011</t>
  </si>
  <si>
    <t xml:space="preserve">What does it mean that the superintendent maintains the Foundation's procedures?</t>
  </si>
  <si>
    <t xml:space="preserve">Clarify that the district keeps its own procedures and the Foundation board keeps its own; any detail goes in the regulation.</t>
  </si>
  <si>
    <t xml:space="preserve">C-012</t>
  </si>
  <si>
    <t xml:space="preserve">Staff</t>
  </si>
  <si>
    <t xml:space="preserve">The donor-influence sentence fits Policy DFK better than KEB.</t>
  </si>
  <si>
    <t xml:space="preserve">Save for a later revision</t>
  </si>
  <si>
    <t xml:space="preserve">Keep it in KEB for now, rewritten as shorter sentences; move it to DFK at DFK's next revision (D-001).</t>
  </si>
  <si>
    <t xml:space="preserve">C-013</t>
  </si>
  <si>
    <t xml:space="preserve">Strengthen transparency and accountability requirements for PTAs, PTSAs and booster clubs.</t>
  </si>
  <si>
    <t xml:space="preserve">Belongs in the LE regulations on support organizations; a booster club regulation is in review.</t>
  </si>
  <si>
    <t xml:space="preserve">C-014</t>
  </si>
  <si>
    <t xml:space="preserve">'Equitable educational opportunities for students across the district' may not fit fundraising for one school.</t>
  </si>
  <si>
    <t xml:space="preserve">Reword to allow district-wide or school-level efforts.</t>
  </si>
  <si>
    <t xml:space="preserve">C-015</t>
  </si>
  <si>
    <t xml:space="preserve">Said at board meeting</t>
  </si>
  <si>
    <t xml:space="preserve">Action packet</t>
  </si>
  <si>
    <t xml:space="preserve">The title 'Goals and Objectives' doesn't describe the policy; revisit the name and placement.</t>
  </si>
  <si>
    <t xml:space="preserve">Returned to committee.</t>
  </si>
  <si>
    <t xml:space="preserve">C-016</t>
  </si>
  <si>
    <t xml:space="preserve">Plan how it will be carried out before adopting it.</t>
  </si>
  <si>
    <t xml:space="preserve">C-017</t>
  </si>
  <si>
    <t xml:space="preserve">Share draft regulations with the policy before the vote.</t>
  </si>
  <si>
    <t xml:space="preserve">Staff will share the draft BA regulation before the committee meets.</t>
  </si>
  <si>
    <t xml:space="preserve">C-018</t>
  </si>
  <si>
    <t xml:space="preserve">Pulled from action with BA; consider combining with BA and GAAA.</t>
  </si>
  <si>
    <t xml:space="preserve">C-019</t>
  </si>
  <si>
    <t xml:space="preserve">C-020</t>
  </si>
  <si>
    <t xml:space="preserve">C-021</t>
  </si>
  <si>
    <t xml:space="preserve">C-022</t>
  </si>
  <si>
    <t xml:space="preserve">C-023</t>
  </si>
  <si>
    <t xml:space="preserve">C-024</t>
  </si>
  <si>
    <t xml:space="preserve">C-025</t>
  </si>
  <si>
    <t xml:space="preserve">C-026</t>
  </si>
  <si>
    <t xml:space="preserve">C-027</t>
  </si>
  <si>
    <t xml:space="preserve">C-028</t>
  </si>
  <si>
    <t xml:space="preserve">C-029</t>
  </si>
  <si>
    <t xml:space="preserve">C-030</t>
  </si>
  <si>
    <t xml:space="preserve">C-031</t>
  </si>
  <si>
    <t xml:space="preserve">C-032</t>
  </si>
  <si>
    <t xml:space="preserve">C-033</t>
  </si>
  <si>
    <t xml:space="preserve">C-034</t>
  </si>
  <si>
    <t xml:space="preserve">C-035</t>
  </si>
  <si>
    <t xml:space="preserve">C-036</t>
  </si>
  <si>
    <t xml:space="preserve">C-037</t>
  </si>
  <si>
    <t xml:space="preserve">C-038</t>
  </si>
  <si>
    <t xml:space="preserve">C-039</t>
  </si>
  <si>
    <t xml:space="preserve">C-040</t>
  </si>
  <si>
    <t xml:space="preserve">C-041</t>
  </si>
  <si>
    <t xml:space="preserve">C-042</t>
  </si>
  <si>
    <t xml:space="preserve">C-043</t>
  </si>
  <si>
    <t xml:space="preserve">C-044</t>
  </si>
  <si>
    <t xml:space="preserve">C-045</t>
  </si>
  <si>
    <t xml:space="preserve">C-046</t>
  </si>
  <si>
    <t xml:space="preserve">C-047</t>
  </si>
  <si>
    <t xml:space="preserve">C-048</t>
  </si>
  <si>
    <t xml:space="preserve">C-049</t>
  </si>
  <si>
    <t xml:space="preserve">C-050</t>
  </si>
  <si>
    <t xml:space="preserve">C-051</t>
  </si>
  <si>
    <t xml:space="preserve">C-052</t>
  </si>
  <si>
    <t xml:space="preserve">C-053</t>
  </si>
  <si>
    <t xml:space="preserve">C-054</t>
  </si>
  <si>
    <t xml:space="preserve">C-055</t>
  </si>
  <si>
    <t xml:space="preserve">C-056</t>
  </si>
  <si>
    <t xml:space="preserve">C-057</t>
  </si>
  <si>
    <t xml:space="preserve">C-058</t>
  </si>
  <si>
    <t xml:space="preserve">C-059</t>
  </si>
  <si>
    <t xml:space="preserve">C-060</t>
  </si>
  <si>
    <t xml:space="preserve">C-061</t>
  </si>
  <si>
    <t xml:space="preserve">C-062</t>
  </si>
  <si>
    <t xml:space="preserve">C-063</t>
  </si>
  <si>
    <t xml:space="preserve">C-064</t>
  </si>
  <si>
    <t xml:space="preserve">C-065</t>
  </si>
  <si>
    <t xml:space="preserve">C-066</t>
  </si>
  <si>
    <t xml:space="preserve">C-067</t>
  </si>
  <si>
    <t xml:space="preserve">C-068</t>
  </si>
  <si>
    <t xml:space="preserve">C-069</t>
  </si>
  <si>
    <t xml:space="preserve">C-070</t>
  </si>
  <si>
    <t xml:space="preserve">C-071</t>
  </si>
  <si>
    <t xml:space="preserve">C-072</t>
  </si>
  <si>
    <t xml:space="preserve">C-073</t>
  </si>
  <si>
    <t xml:space="preserve">C-074</t>
  </si>
  <si>
    <t xml:space="preserve">C-075</t>
  </si>
  <si>
    <t xml:space="preserve">C-076</t>
  </si>
  <si>
    <t xml:space="preserve">C-077</t>
  </si>
  <si>
    <t xml:space="preserve">C-078</t>
  </si>
  <si>
    <t xml:space="preserve">C-079</t>
  </si>
  <si>
    <t xml:space="preserve">C-080</t>
  </si>
  <si>
    <t xml:space="preserve">C-081</t>
  </si>
  <si>
    <t xml:space="preserve">C-082</t>
  </si>
  <si>
    <t xml:space="preserve">C-083</t>
  </si>
  <si>
    <t xml:space="preserve">C-084</t>
  </si>
  <si>
    <t xml:space="preserve">C-085</t>
  </si>
  <si>
    <t xml:space="preserve">C-086</t>
  </si>
  <si>
    <t xml:space="preserve">C-087</t>
  </si>
  <si>
    <t xml:space="preserve">C-088</t>
  </si>
  <si>
    <t xml:space="preserve">C-089</t>
  </si>
  <si>
    <t xml:space="preserve">C-090</t>
  </si>
  <si>
    <t xml:space="preserve">C-091</t>
  </si>
  <si>
    <t xml:space="preserve">C-092</t>
  </si>
  <si>
    <t xml:space="preserve">C-093</t>
  </si>
  <si>
    <t xml:space="preserve">C-094</t>
  </si>
  <si>
    <t xml:space="preserve">C-095</t>
  </si>
  <si>
    <t xml:space="preserve">C-096</t>
  </si>
  <si>
    <t xml:space="preserve">C-097</t>
  </si>
  <si>
    <t xml:space="preserve">C-098</t>
  </si>
  <si>
    <t xml:space="preserve">C-099</t>
  </si>
  <si>
    <t xml:space="preserve">C-100</t>
  </si>
  <si>
    <t xml:space="preserve">C-101</t>
  </si>
  <si>
    <t xml:space="preserve">C-102</t>
  </si>
  <si>
    <t xml:space="preserve">C-103</t>
  </si>
  <si>
    <t xml:space="preserve">C-104</t>
  </si>
  <si>
    <t xml:space="preserve">C-105</t>
  </si>
  <si>
    <t xml:space="preserve">C-106</t>
  </si>
  <si>
    <t xml:space="preserve">C-107</t>
  </si>
  <si>
    <t xml:space="preserve">C-108</t>
  </si>
  <si>
    <t xml:space="preserve">C-109</t>
  </si>
  <si>
    <t xml:space="preserve">C-110</t>
  </si>
  <si>
    <t xml:space="preserve">C-111</t>
  </si>
  <si>
    <t xml:space="preserve">C-112</t>
  </si>
  <si>
    <t xml:space="preserve">C-113</t>
  </si>
  <si>
    <t xml:space="preserve">C-114</t>
  </si>
  <si>
    <t xml:space="preserve">C-115</t>
  </si>
  <si>
    <t xml:space="preserve">C-116</t>
  </si>
  <si>
    <t xml:space="preserve">C-117</t>
  </si>
  <si>
    <t xml:space="preserve">C-118</t>
  </si>
  <si>
    <t xml:space="preserve">C-119</t>
  </si>
  <si>
    <t xml:space="preserve">C-120</t>
  </si>
  <si>
    <t xml:space="preserve">C-121</t>
  </si>
  <si>
    <t xml:space="preserve">C-122</t>
  </si>
  <si>
    <t xml:space="preserve">C-123</t>
  </si>
  <si>
    <t xml:space="preserve">C-124</t>
  </si>
  <si>
    <t xml:space="preserve">C-125</t>
  </si>
  <si>
    <t xml:space="preserve">C-126</t>
  </si>
  <si>
    <t xml:space="preserve">C-127</t>
  </si>
  <si>
    <t xml:space="preserve">C-128</t>
  </si>
  <si>
    <t xml:space="preserve">C-129</t>
  </si>
  <si>
    <t xml:space="preserve">C-130</t>
  </si>
  <si>
    <t xml:space="preserve">C-131</t>
  </si>
  <si>
    <t xml:space="preserve">C-132</t>
  </si>
  <si>
    <t xml:space="preserve">C-133</t>
  </si>
  <si>
    <t xml:space="preserve">C-134</t>
  </si>
  <si>
    <t xml:space="preserve">C-135</t>
  </si>
  <si>
    <t xml:space="preserve">C-136</t>
  </si>
  <si>
    <t xml:space="preserve">C-137</t>
  </si>
  <si>
    <t xml:space="preserve">C-138</t>
  </si>
  <si>
    <t xml:space="preserve">C-139</t>
  </si>
  <si>
    <t xml:space="preserve">C-140</t>
  </si>
  <si>
    <t xml:space="preserve">C-141</t>
  </si>
  <si>
    <t xml:space="preserve">C-142</t>
  </si>
  <si>
    <t xml:space="preserve">C-143</t>
  </si>
  <si>
    <t xml:space="preserve">C-144</t>
  </si>
  <si>
    <t xml:space="preserve">C-145</t>
  </si>
  <si>
    <t xml:space="preserve">C-146</t>
  </si>
  <si>
    <t xml:space="preserve">C-147</t>
  </si>
  <si>
    <t xml:space="preserve">C-148</t>
  </si>
  <si>
    <t xml:space="preserve">C-149</t>
  </si>
  <si>
    <t xml:space="preserve">C-150</t>
  </si>
  <si>
    <t xml:space="preserve">C-151</t>
  </si>
  <si>
    <t xml:space="preserve">C-152</t>
  </si>
  <si>
    <t xml:space="preserve">C-153</t>
  </si>
  <si>
    <t xml:space="preserve">C-154</t>
  </si>
  <si>
    <t xml:space="preserve">C-155</t>
  </si>
  <si>
    <t xml:space="preserve">C-156</t>
  </si>
  <si>
    <t xml:space="preserve">C-157</t>
  </si>
  <si>
    <t xml:space="preserve">C-158</t>
  </si>
  <si>
    <t xml:space="preserve">C-159</t>
  </si>
  <si>
    <t xml:space="preserve">C-160</t>
  </si>
  <si>
    <t xml:space="preserve">C-161</t>
  </si>
  <si>
    <t xml:space="preserve">C-162</t>
  </si>
  <si>
    <t xml:space="preserve">C-163</t>
  </si>
  <si>
    <t xml:space="preserve">C-164</t>
  </si>
  <si>
    <t xml:space="preserve">C-165</t>
  </si>
  <si>
    <t xml:space="preserve">C-166</t>
  </si>
  <si>
    <t xml:space="preserve">C-167</t>
  </si>
  <si>
    <t xml:space="preserve">C-168</t>
  </si>
  <si>
    <t xml:space="preserve">C-169</t>
  </si>
  <si>
    <t xml:space="preserve">C-170</t>
  </si>
  <si>
    <t xml:space="preserve">C-171</t>
  </si>
  <si>
    <t xml:space="preserve">C-172</t>
  </si>
  <si>
    <t xml:space="preserve">C-173</t>
  </si>
  <si>
    <t xml:space="preserve">C-174</t>
  </si>
  <si>
    <t xml:space="preserve">C-175</t>
  </si>
  <si>
    <t xml:space="preserve">C-176</t>
  </si>
  <si>
    <t xml:space="preserve">C-177</t>
  </si>
  <si>
    <t xml:space="preserve">C-178</t>
  </si>
  <si>
    <t xml:space="preserve">C-179</t>
  </si>
  <si>
    <t xml:space="preserve">C-180</t>
  </si>
  <si>
    <t xml:space="preserve">C-181</t>
  </si>
  <si>
    <t xml:space="preserve">C-182</t>
  </si>
  <si>
    <t xml:space="preserve">C-183</t>
  </si>
  <si>
    <t xml:space="preserve">C-184</t>
  </si>
  <si>
    <t xml:space="preserve">C-185</t>
  </si>
  <si>
    <t xml:space="preserve">C-186</t>
  </si>
  <si>
    <t xml:space="preserve">C-187</t>
  </si>
  <si>
    <t xml:space="preserve">C-188</t>
  </si>
  <si>
    <t xml:space="preserve">C-189</t>
  </si>
  <si>
    <t xml:space="preserve">C-190</t>
  </si>
  <si>
    <t xml:space="preserve">C-191</t>
  </si>
  <si>
    <t xml:space="preserve">C-192</t>
  </si>
  <si>
    <t xml:space="preserve">C-193</t>
  </si>
  <si>
    <t xml:space="preserve">C-194</t>
  </si>
  <si>
    <t xml:space="preserve">C-195</t>
  </si>
  <si>
    <t xml:space="preserve">C-196</t>
  </si>
  <si>
    <t xml:space="preserve">C-197</t>
  </si>
  <si>
    <t xml:space="preserve">C-198</t>
  </si>
  <si>
    <t xml:space="preserve">C-199</t>
  </si>
  <si>
    <t xml:space="preserve">C-200</t>
  </si>
  <si>
    <t xml:space="preserve">C-201</t>
  </si>
  <si>
    <t xml:space="preserve">C-202</t>
  </si>
  <si>
    <t xml:space="preserve">C-203</t>
  </si>
  <si>
    <t xml:space="preserve">C-204</t>
  </si>
  <si>
    <t xml:space="preserve">C-205</t>
  </si>
  <si>
    <t xml:space="preserve">C-206</t>
  </si>
  <si>
    <t xml:space="preserve">C-207</t>
  </si>
  <si>
    <t xml:space="preserve">C-208</t>
  </si>
  <si>
    <t xml:space="preserve">C-209</t>
  </si>
  <si>
    <t xml:space="preserve">C-210</t>
  </si>
  <si>
    <t xml:space="preserve">C-211</t>
  </si>
  <si>
    <t xml:space="preserve">C-212</t>
  </si>
  <si>
    <t xml:space="preserve">C-213</t>
  </si>
  <si>
    <t xml:space="preserve">C-214</t>
  </si>
  <si>
    <t xml:space="preserve">C-215</t>
  </si>
  <si>
    <t xml:space="preserve">C-216</t>
  </si>
  <si>
    <t xml:space="preserve">C-217</t>
  </si>
  <si>
    <t xml:space="preserve">C-218</t>
  </si>
  <si>
    <t xml:space="preserve">C-219</t>
  </si>
  <si>
    <t xml:space="preserve">C-220</t>
  </si>
  <si>
    <t xml:space="preserve">C-221</t>
  </si>
  <si>
    <t xml:space="preserve">C-222</t>
  </si>
  <si>
    <t xml:space="preserve">C-223</t>
  </si>
  <si>
    <t xml:space="preserve">C-224</t>
  </si>
  <si>
    <t xml:space="preserve">C-225</t>
  </si>
  <si>
    <t xml:space="preserve">C-226</t>
  </si>
  <si>
    <t xml:space="preserve">C-227</t>
  </si>
  <si>
    <t xml:space="preserve">C-228</t>
  </si>
  <si>
    <t xml:space="preserve">C-229</t>
  </si>
  <si>
    <t xml:space="preserve">C-230</t>
  </si>
  <si>
    <t xml:space="preserve">C-231</t>
  </si>
  <si>
    <t xml:space="preserve">C-232</t>
  </si>
  <si>
    <t xml:space="preserve">C-233</t>
  </si>
  <si>
    <t xml:space="preserve">C-234</t>
  </si>
  <si>
    <t xml:space="preserve">C-235</t>
  </si>
  <si>
    <t xml:space="preserve">C-236</t>
  </si>
  <si>
    <t xml:space="preserve">C-237</t>
  </si>
  <si>
    <t xml:space="preserve">C-238</t>
  </si>
  <si>
    <t xml:space="preserve">C-239</t>
  </si>
  <si>
    <t xml:space="preserve">C-240</t>
  </si>
  <si>
    <t xml:space="preserve">C-241</t>
  </si>
  <si>
    <t xml:space="preserve">C-242</t>
  </si>
  <si>
    <t xml:space="preserve">C-243</t>
  </si>
  <si>
    <t xml:space="preserve">C-244</t>
  </si>
  <si>
    <t xml:space="preserve">C-245</t>
  </si>
  <si>
    <t xml:space="preserve">C-246</t>
  </si>
  <si>
    <t xml:space="preserve">C-247</t>
  </si>
  <si>
    <t xml:space="preserve">C-248</t>
  </si>
  <si>
    <t xml:space="preserve">C-249</t>
  </si>
  <si>
    <t xml:space="preserve">C-250</t>
  </si>
  <si>
    <t xml:space="preserve">C-251</t>
  </si>
  <si>
    <t xml:space="preserve">C-252</t>
  </si>
  <si>
    <t xml:space="preserve">C-253</t>
  </si>
  <si>
    <t xml:space="preserve">C-254</t>
  </si>
  <si>
    <t xml:space="preserve">C-255</t>
  </si>
  <si>
    <t xml:space="preserve">C-256</t>
  </si>
  <si>
    <t xml:space="preserve">C-257</t>
  </si>
  <si>
    <t xml:space="preserve">C-258</t>
  </si>
  <si>
    <t xml:space="preserve">C-259</t>
  </si>
  <si>
    <t xml:space="preserve">C-260</t>
  </si>
  <si>
    <t xml:space="preserve">C-261</t>
  </si>
  <si>
    <t xml:space="preserve">C-262</t>
  </si>
  <si>
    <t xml:space="preserve">C-263</t>
  </si>
  <si>
    <t xml:space="preserve">C-264</t>
  </si>
  <si>
    <t xml:space="preserve">C-265</t>
  </si>
  <si>
    <t xml:space="preserve">C-266</t>
  </si>
  <si>
    <t xml:space="preserve">C-267</t>
  </si>
  <si>
    <t xml:space="preserve">C-268</t>
  </si>
  <si>
    <t xml:space="preserve">C-269</t>
  </si>
  <si>
    <t xml:space="preserve">C-270</t>
  </si>
  <si>
    <t xml:space="preserve">C-271</t>
  </si>
  <si>
    <t xml:space="preserve">C-272</t>
  </si>
  <si>
    <t xml:space="preserve">C-273</t>
  </si>
  <si>
    <t xml:space="preserve">C-274</t>
  </si>
  <si>
    <t xml:space="preserve">C-275</t>
  </si>
  <si>
    <t xml:space="preserve">C-276</t>
  </si>
  <si>
    <t xml:space="preserve">C-277</t>
  </si>
  <si>
    <t xml:space="preserve">C-278</t>
  </si>
  <si>
    <t xml:space="preserve">C-279</t>
  </si>
  <si>
    <t xml:space="preserve">C-280</t>
  </si>
  <si>
    <t xml:space="preserve">C-281</t>
  </si>
  <si>
    <t xml:space="preserve">C-282</t>
  </si>
  <si>
    <t xml:space="preserve">C-283</t>
  </si>
  <si>
    <t xml:space="preserve">C-284</t>
  </si>
  <si>
    <t xml:space="preserve">C-285</t>
  </si>
  <si>
    <t xml:space="preserve">C-286</t>
  </si>
  <si>
    <t xml:space="preserve">C-287</t>
  </si>
  <si>
    <t xml:space="preserve">C-288</t>
  </si>
  <si>
    <t xml:space="preserve">C-289</t>
  </si>
  <si>
    <t xml:space="preserve">C-290</t>
  </si>
  <si>
    <t xml:space="preserve">C-291</t>
  </si>
  <si>
    <t xml:space="preserve">C-292</t>
  </si>
  <si>
    <t xml:space="preserve">C-293</t>
  </si>
  <si>
    <t xml:space="preserve">C-294</t>
  </si>
  <si>
    <t xml:space="preserve">C-295</t>
  </si>
  <si>
    <t xml:space="preserve">C-296</t>
  </si>
  <si>
    <t xml:space="preserve">C-297</t>
  </si>
  <si>
    <t xml:space="preserve">C-298</t>
  </si>
  <si>
    <t xml:space="preserve">C-299</t>
  </si>
  <si>
    <t xml:space="preserve">C-300</t>
  </si>
  <si>
    <t xml:space="preserve">C-301</t>
  </si>
  <si>
    <t xml:space="preserve">C-302</t>
  </si>
  <si>
    <t xml:space="preserve">C-303</t>
  </si>
  <si>
    <t xml:space="preserve">C-304</t>
  </si>
  <si>
    <t xml:space="preserve">C-305</t>
  </si>
  <si>
    <t xml:space="preserve">C-306</t>
  </si>
  <si>
    <t xml:space="preserve">C-307</t>
  </si>
  <si>
    <t xml:space="preserve">C-308</t>
  </si>
  <si>
    <t xml:space="preserve">C-309</t>
  </si>
  <si>
    <t xml:space="preserve">C-310</t>
  </si>
  <si>
    <t xml:space="preserve">C-311</t>
  </si>
  <si>
    <t xml:space="preserve">C-312</t>
  </si>
  <si>
    <t xml:space="preserve">C-313</t>
  </si>
  <si>
    <t xml:space="preserve">C-314</t>
  </si>
  <si>
    <t xml:space="preserve">C-315</t>
  </si>
  <si>
    <t xml:space="preserve">C-316</t>
  </si>
  <si>
    <t xml:space="preserve">C-317</t>
  </si>
  <si>
    <t xml:space="preserve">C-318</t>
  </si>
  <si>
    <t xml:space="preserve">C-319</t>
  </si>
  <si>
    <t xml:space="preserve">C-320</t>
  </si>
  <si>
    <t xml:space="preserve">C-321</t>
  </si>
  <si>
    <t xml:space="preserve">C-322</t>
  </si>
  <si>
    <t xml:space="preserve">C-323</t>
  </si>
  <si>
    <t xml:space="preserve">C-324</t>
  </si>
  <si>
    <t xml:space="preserve">C-325</t>
  </si>
  <si>
    <t xml:space="preserve">C-326</t>
  </si>
  <si>
    <t xml:space="preserve">C-327</t>
  </si>
  <si>
    <t xml:space="preserve">C-328</t>
  </si>
  <si>
    <t xml:space="preserve">C-329</t>
  </si>
  <si>
    <t xml:space="preserve">C-330</t>
  </si>
  <si>
    <t xml:space="preserve">C-331</t>
  </si>
  <si>
    <t xml:space="preserve">C-332</t>
  </si>
  <si>
    <t xml:space="preserve">C-333</t>
  </si>
  <si>
    <t xml:space="preserve">C-334</t>
  </si>
  <si>
    <t xml:space="preserve">C-335</t>
  </si>
  <si>
    <t xml:space="preserve">C-336</t>
  </si>
  <si>
    <t xml:space="preserve">C-337</t>
  </si>
  <si>
    <t xml:space="preserve">C-338</t>
  </si>
  <si>
    <t xml:space="preserve">C-339</t>
  </si>
  <si>
    <t xml:space="preserve">C-340</t>
  </si>
  <si>
    <t xml:space="preserve">C-341</t>
  </si>
  <si>
    <t xml:space="preserve">C-342</t>
  </si>
  <si>
    <t xml:space="preserve">C-343</t>
  </si>
  <si>
    <t xml:space="preserve">C-344</t>
  </si>
  <si>
    <t xml:space="preserve">C-345</t>
  </si>
  <si>
    <t xml:space="preserve">C-346</t>
  </si>
  <si>
    <t xml:space="preserve">C-347</t>
  </si>
  <si>
    <t xml:space="preserve">C-348</t>
  </si>
  <si>
    <t xml:space="preserve">C-349</t>
  </si>
  <si>
    <t xml:space="preserve">C-350</t>
  </si>
  <si>
    <t xml:space="preserve">C-351</t>
  </si>
  <si>
    <t xml:space="preserve">C-352</t>
  </si>
  <si>
    <t xml:space="preserve">C-353</t>
  </si>
  <si>
    <t xml:space="preserve">C-354</t>
  </si>
  <si>
    <t xml:space="preserve">C-355</t>
  </si>
  <si>
    <t xml:space="preserve">C-356</t>
  </si>
  <si>
    <t xml:space="preserve">C-357</t>
  </si>
  <si>
    <t xml:space="preserve">C-358</t>
  </si>
  <si>
    <t xml:space="preserve">C-359</t>
  </si>
  <si>
    <t xml:space="preserve">C-360</t>
  </si>
  <si>
    <t xml:space="preserve">C-361</t>
  </si>
  <si>
    <t xml:space="preserve">C-362</t>
  </si>
  <si>
    <t xml:space="preserve">C-363</t>
  </si>
  <si>
    <t xml:space="preserve">C-364</t>
  </si>
  <si>
    <t xml:space="preserve">C-365</t>
  </si>
  <si>
    <t xml:space="preserve">C-366</t>
  </si>
  <si>
    <t xml:space="preserve">C-367</t>
  </si>
  <si>
    <t xml:space="preserve">C-368</t>
  </si>
  <si>
    <t xml:space="preserve">C-369</t>
  </si>
  <si>
    <t xml:space="preserve">C-370</t>
  </si>
  <si>
    <t xml:space="preserve">C-371</t>
  </si>
  <si>
    <t xml:space="preserve">C-372</t>
  </si>
  <si>
    <t xml:space="preserve">C-373</t>
  </si>
  <si>
    <t xml:space="preserve">C-374</t>
  </si>
  <si>
    <t xml:space="preserve">C-375</t>
  </si>
  <si>
    <t xml:space="preserve">C-376</t>
  </si>
  <si>
    <t xml:space="preserve">C-377</t>
  </si>
  <si>
    <t xml:space="preserve">C-378</t>
  </si>
  <si>
    <t xml:space="preserve">C-379</t>
  </si>
  <si>
    <t xml:space="preserve">C-380</t>
  </si>
  <si>
    <t xml:space="preserve">C-381</t>
  </si>
  <si>
    <t xml:space="preserve">C-382</t>
  </si>
  <si>
    <t xml:space="preserve">C-383</t>
  </si>
  <si>
    <t xml:space="preserve">C-384</t>
  </si>
  <si>
    <t xml:space="preserve">C-385</t>
  </si>
  <si>
    <t xml:space="preserve">C-386</t>
  </si>
  <si>
    <t xml:space="preserve">C-387</t>
  </si>
  <si>
    <t xml:space="preserve">C-388</t>
  </si>
  <si>
    <t xml:space="preserve">C-389</t>
  </si>
  <si>
    <t xml:space="preserve">C-390</t>
  </si>
  <si>
    <t xml:space="preserve">C-391</t>
  </si>
  <si>
    <t xml:space="preserve">C-392</t>
  </si>
  <si>
    <t xml:space="preserve">C-393</t>
  </si>
  <si>
    <t xml:space="preserve">C-394</t>
  </si>
  <si>
    <t xml:space="preserve">C-395</t>
  </si>
  <si>
    <t xml:space="preserve">C-396</t>
  </si>
  <si>
    <t xml:space="preserve">C-397</t>
  </si>
  <si>
    <t xml:space="preserve">C-398</t>
  </si>
  <si>
    <t xml:space="preserve">C-399</t>
  </si>
  <si>
    <t xml:space="preserve">C-400</t>
  </si>
  <si>
    <t xml:space="preserve">C-401</t>
  </si>
  <si>
    <t xml:space="preserve">C-402</t>
  </si>
  <si>
    <t xml:space="preserve">C-403</t>
  </si>
  <si>
    <t xml:space="preserve">C-404</t>
  </si>
  <si>
    <t xml:space="preserve">C-405</t>
  </si>
  <si>
    <t xml:space="preserve">C-406</t>
  </si>
  <si>
    <t xml:space="preserve">C-407</t>
  </si>
  <si>
    <t xml:space="preserve">C-408</t>
  </si>
  <si>
    <t xml:space="preserve">C-409</t>
  </si>
  <si>
    <t xml:space="preserve">C-410</t>
  </si>
  <si>
    <t xml:space="preserve">C-411</t>
  </si>
  <si>
    <t xml:space="preserve">C-412</t>
  </si>
  <si>
    <t xml:space="preserve">C-413</t>
  </si>
  <si>
    <t xml:space="preserve">C-414</t>
  </si>
  <si>
    <t xml:space="preserve">C-415</t>
  </si>
  <si>
    <t xml:space="preserve">C-416</t>
  </si>
  <si>
    <t xml:space="preserve">C-417</t>
  </si>
  <si>
    <t xml:space="preserve">C-418</t>
  </si>
  <si>
    <t xml:space="preserve">C-419</t>
  </si>
  <si>
    <t xml:space="preserve">C-420</t>
  </si>
  <si>
    <t xml:space="preserve">C-421</t>
  </si>
  <si>
    <t xml:space="preserve">C-422</t>
  </si>
  <si>
    <t xml:space="preserve">C-423</t>
  </si>
  <si>
    <t xml:space="preserve">C-424</t>
  </si>
  <si>
    <t xml:space="preserve">C-425</t>
  </si>
  <si>
    <t xml:space="preserve">C-426</t>
  </si>
  <si>
    <t xml:space="preserve">C-427</t>
  </si>
  <si>
    <t xml:space="preserve">C-428</t>
  </si>
  <si>
    <t xml:space="preserve">C-429</t>
  </si>
  <si>
    <t xml:space="preserve">C-430</t>
  </si>
  <si>
    <t xml:space="preserve">C-431</t>
  </si>
  <si>
    <t xml:space="preserve">C-432</t>
  </si>
  <si>
    <t xml:space="preserve">C-433</t>
  </si>
  <si>
    <t xml:space="preserve">C-434</t>
  </si>
  <si>
    <t xml:space="preserve">C-435</t>
  </si>
  <si>
    <t xml:space="preserve">C-436</t>
  </si>
  <si>
    <t xml:space="preserve">C-437</t>
  </si>
  <si>
    <t xml:space="preserve">C-438</t>
  </si>
  <si>
    <t xml:space="preserve">C-439</t>
  </si>
  <si>
    <t xml:space="preserve">C-440</t>
  </si>
  <si>
    <t xml:space="preserve">C-441</t>
  </si>
  <si>
    <t xml:space="preserve">C-442</t>
  </si>
  <si>
    <t xml:space="preserve">C-443</t>
  </si>
  <si>
    <t xml:space="preserve">C-444</t>
  </si>
  <si>
    <t xml:space="preserve">C-445</t>
  </si>
  <si>
    <t xml:space="preserve">C-446</t>
  </si>
  <si>
    <t xml:space="preserve">C-447</t>
  </si>
  <si>
    <t xml:space="preserve">C-448</t>
  </si>
  <si>
    <t xml:space="preserve">C-449</t>
  </si>
  <si>
    <t xml:space="preserve">C-450</t>
  </si>
  <si>
    <t xml:space="preserve">C-451</t>
  </si>
  <si>
    <t xml:space="preserve">C-452</t>
  </si>
  <si>
    <t xml:space="preserve">C-453</t>
  </si>
  <si>
    <t xml:space="preserve">C-454</t>
  </si>
  <si>
    <t xml:space="preserve">C-455</t>
  </si>
  <si>
    <t xml:space="preserve">C-456</t>
  </si>
  <si>
    <t xml:space="preserve">C-457</t>
  </si>
  <si>
    <t xml:space="preserve">C-458</t>
  </si>
  <si>
    <t xml:space="preserve">C-459</t>
  </si>
  <si>
    <t xml:space="preserve">C-460</t>
  </si>
  <si>
    <t xml:space="preserve">C-461</t>
  </si>
  <si>
    <t xml:space="preserve">C-462</t>
  </si>
  <si>
    <t xml:space="preserve">C-463</t>
  </si>
  <si>
    <t xml:space="preserve">C-464</t>
  </si>
  <si>
    <t xml:space="preserve">C-465</t>
  </si>
  <si>
    <t xml:space="preserve">C-466</t>
  </si>
  <si>
    <t xml:space="preserve">C-467</t>
  </si>
  <si>
    <t xml:space="preserve">C-468</t>
  </si>
  <si>
    <t xml:space="preserve">C-469</t>
  </si>
  <si>
    <t xml:space="preserve">C-470</t>
  </si>
  <si>
    <t xml:space="preserve">C-471</t>
  </si>
  <si>
    <t xml:space="preserve">C-472</t>
  </si>
  <si>
    <t xml:space="preserve">C-473</t>
  </si>
  <si>
    <t xml:space="preserve">C-474</t>
  </si>
  <si>
    <t xml:space="preserve">C-475</t>
  </si>
  <si>
    <t xml:space="preserve">C-476</t>
  </si>
  <si>
    <t xml:space="preserve">C-477</t>
  </si>
  <si>
    <t xml:space="preserve">C-478</t>
  </si>
  <si>
    <t xml:space="preserve">C-479</t>
  </si>
  <si>
    <t xml:space="preserve">C-480</t>
  </si>
  <si>
    <t xml:space="preserve">C-481</t>
  </si>
  <si>
    <t xml:space="preserve">C-482</t>
  </si>
  <si>
    <t xml:space="preserve">C-483</t>
  </si>
  <si>
    <t xml:space="preserve">C-484</t>
  </si>
  <si>
    <t xml:space="preserve">C-485</t>
  </si>
  <si>
    <t xml:space="preserve">C-486</t>
  </si>
  <si>
    <t xml:space="preserve">C-487</t>
  </si>
  <si>
    <t xml:space="preserve">C-488</t>
  </si>
  <si>
    <t xml:space="preserve">C-489</t>
  </si>
  <si>
    <t xml:space="preserve">C-490</t>
  </si>
  <si>
    <t xml:space="preserve">C-491</t>
  </si>
  <si>
    <t xml:space="preserve">C-492</t>
  </si>
  <si>
    <t xml:space="preserve">C-493</t>
  </si>
  <si>
    <t xml:space="preserve">C-494</t>
  </si>
  <si>
    <t xml:space="preserve">C-495</t>
  </si>
  <si>
    <t xml:space="preserve">C-496</t>
  </si>
  <si>
    <t xml:space="preserve">C-497</t>
  </si>
  <si>
    <t xml:space="preserve">C-498</t>
  </si>
  <si>
    <t xml:space="preserve">C-499</t>
  </si>
  <si>
    <t xml:space="preserve">C-500</t>
  </si>
  <si>
    <t xml:space="preserve">C-501</t>
  </si>
  <si>
    <t xml:space="preserve">C-502</t>
  </si>
  <si>
    <t xml:space="preserve">C-503</t>
  </si>
  <si>
    <t xml:space="preserve">C-504</t>
  </si>
  <si>
    <t xml:space="preserve">C-505</t>
  </si>
  <si>
    <t xml:space="preserve">C-506</t>
  </si>
  <si>
    <t xml:space="preserve">C-507</t>
  </si>
  <si>
    <t xml:space="preserve">C-508</t>
  </si>
  <si>
    <t xml:space="preserve">C-509</t>
  </si>
  <si>
    <t xml:space="preserve">C-510</t>
  </si>
  <si>
    <t xml:space="preserve">C-511</t>
  </si>
  <si>
    <t xml:space="preserve">C-512</t>
  </si>
  <si>
    <t xml:space="preserve">C-513</t>
  </si>
  <si>
    <t xml:space="preserve">C-514</t>
  </si>
  <si>
    <t xml:space="preserve">C-515</t>
  </si>
  <si>
    <t xml:space="preserve">C-516</t>
  </si>
  <si>
    <t xml:space="preserve">C-517</t>
  </si>
  <si>
    <t xml:space="preserve">C-518</t>
  </si>
  <si>
    <t xml:space="preserve">C-519</t>
  </si>
  <si>
    <t xml:space="preserve">C-520</t>
  </si>
  <si>
    <t xml:space="preserve">C-521</t>
  </si>
  <si>
    <t xml:space="preserve">C-522</t>
  </si>
  <si>
    <t xml:space="preserve">C-523</t>
  </si>
  <si>
    <t xml:space="preserve">C-524</t>
  </si>
  <si>
    <t xml:space="preserve">C-525</t>
  </si>
  <si>
    <t xml:space="preserve">C-526</t>
  </si>
  <si>
    <t xml:space="preserve">C-527</t>
  </si>
  <si>
    <t xml:space="preserve">C-528</t>
  </si>
  <si>
    <t xml:space="preserve">C-529</t>
  </si>
  <si>
    <t xml:space="preserve">C-530</t>
  </si>
  <si>
    <t xml:space="preserve">C-531</t>
  </si>
  <si>
    <t xml:space="preserve">C-532</t>
  </si>
  <si>
    <t xml:space="preserve">C-533</t>
  </si>
  <si>
    <t xml:space="preserve">C-534</t>
  </si>
  <si>
    <t xml:space="preserve">C-535</t>
  </si>
  <si>
    <t xml:space="preserve">C-536</t>
  </si>
  <si>
    <t xml:space="preserve">C-537</t>
  </si>
  <si>
    <t xml:space="preserve">C-538</t>
  </si>
  <si>
    <t xml:space="preserve">C-539</t>
  </si>
  <si>
    <t xml:space="preserve">C-540</t>
  </si>
  <si>
    <t xml:space="preserve">C-541</t>
  </si>
  <si>
    <t xml:space="preserve">C-542</t>
  </si>
  <si>
    <t xml:space="preserve">C-543</t>
  </si>
  <si>
    <t xml:space="preserve">C-544</t>
  </si>
  <si>
    <t xml:space="preserve">C-545</t>
  </si>
  <si>
    <t xml:space="preserve">C-546</t>
  </si>
  <si>
    <t xml:space="preserve">C-547</t>
  </si>
  <si>
    <t xml:space="preserve">C-548</t>
  </si>
  <si>
    <t xml:space="preserve">C-549</t>
  </si>
  <si>
    <t xml:space="preserve">C-550</t>
  </si>
  <si>
    <t xml:space="preserve">C-551</t>
  </si>
  <si>
    <t xml:space="preserve">C-552</t>
  </si>
  <si>
    <t xml:space="preserve">C-553</t>
  </si>
  <si>
    <t xml:space="preserve">C-554</t>
  </si>
  <si>
    <t xml:space="preserve">C-555</t>
  </si>
  <si>
    <t xml:space="preserve">C-556</t>
  </si>
  <si>
    <t xml:space="preserve">C-557</t>
  </si>
  <si>
    <t xml:space="preserve">C-558</t>
  </si>
  <si>
    <t xml:space="preserve">C-559</t>
  </si>
  <si>
    <t xml:space="preserve">C-560</t>
  </si>
  <si>
    <t xml:space="preserve">C-561</t>
  </si>
  <si>
    <t xml:space="preserve">C-562</t>
  </si>
  <si>
    <t xml:space="preserve">C-563</t>
  </si>
  <si>
    <t xml:space="preserve">C-564</t>
  </si>
  <si>
    <t xml:space="preserve">C-565</t>
  </si>
  <si>
    <t xml:space="preserve">C-566</t>
  </si>
  <si>
    <t xml:space="preserve">C-567</t>
  </si>
  <si>
    <t xml:space="preserve">C-568</t>
  </si>
  <si>
    <t xml:space="preserve">C-569</t>
  </si>
  <si>
    <t xml:space="preserve">C-570</t>
  </si>
  <si>
    <t xml:space="preserve">C-571</t>
  </si>
  <si>
    <t xml:space="preserve">C-572</t>
  </si>
  <si>
    <t xml:space="preserve">C-573</t>
  </si>
  <si>
    <t xml:space="preserve">C-574</t>
  </si>
  <si>
    <t xml:space="preserve">C-575</t>
  </si>
  <si>
    <t xml:space="preserve">C-576</t>
  </si>
  <si>
    <t xml:space="preserve">C-577</t>
  </si>
  <si>
    <t xml:space="preserve">C-578</t>
  </si>
  <si>
    <t xml:space="preserve">C-579</t>
  </si>
  <si>
    <t xml:space="preserve">C-580</t>
  </si>
  <si>
    <t xml:space="preserve">C-581</t>
  </si>
  <si>
    <t xml:space="preserve">C-582</t>
  </si>
  <si>
    <t xml:space="preserve">C-583</t>
  </si>
  <si>
    <t xml:space="preserve">C-584</t>
  </si>
  <si>
    <t xml:space="preserve">C-585</t>
  </si>
  <si>
    <t xml:space="preserve">C-586</t>
  </si>
  <si>
    <t xml:space="preserve">C-587</t>
  </si>
  <si>
    <t xml:space="preserve">C-588</t>
  </si>
  <si>
    <t xml:space="preserve">C-589</t>
  </si>
  <si>
    <t xml:space="preserve">C-590</t>
  </si>
  <si>
    <t xml:space="preserve">C-591</t>
  </si>
  <si>
    <t xml:space="preserve">C-592</t>
  </si>
  <si>
    <t xml:space="preserve">C-593</t>
  </si>
  <si>
    <t xml:space="preserve">C-594</t>
  </si>
  <si>
    <t xml:space="preserve">C-595</t>
  </si>
  <si>
    <t xml:space="preserve">C-596</t>
  </si>
  <si>
    <t xml:space="preserve">C-597</t>
  </si>
  <si>
    <t xml:space="preserve">C-598</t>
  </si>
  <si>
    <t xml:space="preserve">C-599</t>
  </si>
  <si>
    <t xml:space="preserve">C-600</t>
  </si>
  <si>
    <t xml:space="preserve">C-601</t>
  </si>
  <si>
    <t xml:space="preserve">C-602</t>
  </si>
  <si>
    <t xml:space="preserve">C-603</t>
  </si>
  <si>
    <t xml:space="preserve">C-604</t>
  </si>
  <si>
    <t xml:space="preserve">C-605</t>
  </si>
  <si>
    <t xml:space="preserve">C-606</t>
  </si>
  <si>
    <t xml:space="preserve">C-607</t>
  </si>
  <si>
    <t xml:space="preserve">C-608</t>
  </si>
  <si>
    <t xml:space="preserve">C-609</t>
  </si>
  <si>
    <t xml:space="preserve">C-610</t>
  </si>
  <si>
    <t xml:space="preserve">C-611</t>
  </si>
  <si>
    <t xml:space="preserve">C-612</t>
  </si>
  <si>
    <t xml:space="preserve">C-613</t>
  </si>
  <si>
    <t xml:space="preserve">C-614</t>
  </si>
  <si>
    <t xml:space="preserve">C-615</t>
  </si>
  <si>
    <t xml:space="preserve">C-616</t>
  </si>
  <si>
    <t xml:space="preserve">C-617</t>
  </si>
  <si>
    <t xml:space="preserve">C-618</t>
  </si>
  <si>
    <t xml:space="preserve">C-619</t>
  </si>
  <si>
    <t xml:space="preserve">C-620</t>
  </si>
  <si>
    <t xml:space="preserve">C-621</t>
  </si>
  <si>
    <t xml:space="preserve">C-622</t>
  </si>
  <si>
    <t xml:space="preserve">C-623</t>
  </si>
  <si>
    <t xml:space="preserve">C-624</t>
  </si>
  <si>
    <t xml:space="preserve">C-625</t>
  </si>
  <si>
    <t xml:space="preserve">C-626</t>
  </si>
  <si>
    <t xml:space="preserve">C-627</t>
  </si>
  <si>
    <t xml:space="preserve">C-628</t>
  </si>
  <si>
    <t xml:space="preserve">C-629</t>
  </si>
  <si>
    <t xml:space="preserve">C-630</t>
  </si>
  <si>
    <t xml:space="preserve">C-631</t>
  </si>
  <si>
    <t xml:space="preserve">C-632</t>
  </si>
  <si>
    <t xml:space="preserve">C-633</t>
  </si>
  <si>
    <t xml:space="preserve">C-634</t>
  </si>
  <si>
    <t xml:space="preserve">C-635</t>
  </si>
  <si>
    <t xml:space="preserve">C-636</t>
  </si>
  <si>
    <t xml:space="preserve">C-637</t>
  </si>
  <si>
    <t xml:space="preserve">C-638</t>
  </si>
  <si>
    <t xml:space="preserve">C-639</t>
  </si>
  <si>
    <t xml:space="preserve">C-640</t>
  </si>
  <si>
    <t xml:space="preserve">C-641</t>
  </si>
  <si>
    <t xml:space="preserve">C-642</t>
  </si>
  <si>
    <t xml:space="preserve">C-643</t>
  </si>
  <si>
    <t xml:space="preserve">C-644</t>
  </si>
  <si>
    <t xml:space="preserve">C-645</t>
  </si>
  <si>
    <t xml:space="preserve">C-646</t>
  </si>
  <si>
    <t xml:space="preserve">C-647</t>
  </si>
  <si>
    <t xml:space="preserve">C-648</t>
  </si>
  <si>
    <t xml:space="preserve">C-649</t>
  </si>
  <si>
    <t xml:space="preserve">C-650</t>
  </si>
  <si>
    <t xml:space="preserve">C-651</t>
  </si>
  <si>
    <t xml:space="preserve">C-652</t>
  </si>
  <si>
    <t xml:space="preserve">C-653</t>
  </si>
  <si>
    <t xml:space="preserve">C-654</t>
  </si>
  <si>
    <t xml:space="preserve">C-655</t>
  </si>
  <si>
    <t xml:space="preserve">C-656</t>
  </si>
  <si>
    <t xml:space="preserve">C-657</t>
  </si>
  <si>
    <t xml:space="preserve">C-658</t>
  </si>
  <si>
    <t xml:space="preserve">C-659</t>
  </si>
  <si>
    <t xml:space="preserve">C-660</t>
  </si>
  <si>
    <t xml:space="preserve">C-661</t>
  </si>
  <si>
    <t xml:space="preserve">C-662</t>
  </si>
  <si>
    <t xml:space="preserve">C-663</t>
  </si>
  <si>
    <t xml:space="preserve">C-664</t>
  </si>
  <si>
    <t xml:space="preserve">C-665</t>
  </si>
  <si>
    <t xml:space="preserve">C-666</t>
  </si>
  <si>
    <t xml:space="preserve">C-667</t>
  </si>
  <si>
    <t xml:space="preserve">C-668</t>
  </si>
  <si>
    <t xml:space="preserve">C-669</t>
  </si>
  <si>
    <t xml:space="preserve">C-670</t>
  </si>
  <si>
    <t xml:space="preserve">C-671</t>
  </si>
  <si>
    <t xml:space="preserve">C-672</t>
  </si>
  <si>
    <t xml:space="preserve">C-673</t>
  </si>
  <si>
    <t xml:space="preserve">C-674</t>
  </si>
  <si>
    <t xml:space="preserve">C-675</t>
  </si>
  <si>
    <t xml:space="preserve">C-676</t>
  </si>
  <si>
    <t xml:space="preserve">C-677</t>
  </si>
  <si>
    <t xml:space="preserve">C-678</t>
  </si>
  <si>
    <t xml:space="preserve">C-679</t>
  </si>
  <si>
    <t xml:space="preserve">C-680</t>
  </si>
  <si>
    <t xml:space="preserve">C-681</t>
  </si>
  <si>
    <t xml:space="preserve">C-682</t>
  </si>
  <si>
    <t xml:space="preserve">C-683</t>
  </si>
  <si>
    <t xml:space="preserve">C-684</t>
  </si>
  <si>
    <t xml:space="preserve">C-685</t>
  </si>
  <si>
    <t xml:space="preserve">C-686</t>
  </si>
  <si>
    <t xml:space="preserve">C-687</t>
  </si>
  <si>
    <t xml:space="preserve">C-688</t>
  </si>
  <si>
    <t xml:space="preserve">C-689</t>
  </si>
  <si>
    <t xml:space="preserve">C-690</t>
  </si>
  <si>
    <t xml:space="preserve">C-691</t>
  </si>
  <si>
    <t xml:space="preserve">C-692</t>
  </si>
  <si>
    <t xml:space="preserve">C-693</t>
  </si>
  <si>
    <t xml:space="preserve">C-694</t>
  </si>
  <si>
    <t xml:space="preserve">C-695</t>
  </si>
  <si>
    <t xml:space="preserve">C-696</t>
  </si>
  <si>
    <t xml:space="preserve">C-697</t>
  </si>
  <si>
    <t xml:space="preserve">C-698</t>
  </si>
  <si>
    <t xml:space="preserve">C-699</t>
  </si>
  <si>
    <t xml:space="preserve">C-700</t>
  </si>
  <si>
    <t xml:space="preserve">C-701</t>
  </si>
  <si>
    <t xml:space="preserve">C-702</t>
  </si>
  <si>
    <t xml:space="preserve">C-703</t>
  </si>
  <si>
    <t xml:space="preserve">C-704</t>
  </si>
  <si>
    <t xml:space="preserve">C-705</t>
  </si>
  <si>
    <t xml:space="preserve">C-706</t>
  </si>
  <si>
    <t xml:space="preserve">C-707</t>
  </si>
  <si>
    <t xml:space="preserve">C-708</t>
  </si>
  <si>
    <t xml:space="preserve">C-709</t>
  </si>
  <si>
    <t xml:space="preserve">C-710</t>
  </si>
  <si>
    <t xml:space="preserve">C-711</t>
  </si>
  <si>
    <t xml:space="preserve">C-712</t>
  </si>
  <si>
    <t xml:space="preserve">C-713</t>
  </si>
  <si>
    <t xml:space="preserve">C-714</t>
  </si>
  <si>
    <t xml:space="preserve">C-715</t>
  </si>
  <si>
    <t xml:space="preserve">C-716</t>
  </si>
  <si>
    <t xml:space="preserve">C-717</t>
  </si>
  <si>
    <t xml:space="preserve">C-718</t>
  </si>
  <si>
    <t xml:space="preserve">C-719</t>
  </si>
  <si>
    <t xml:space="preserve">C-720</t>
  </si>
  <si>
    <t xml:space="preserve">C-721</t>
  </si>
  <si>
    <t xml:space="preserve">C-722</t>
  </si>
  <si>
    <t xml:space="preserve">C-723</t>
  </si>
  <si>
    <t xml:space="preserve">C-724</t>
  </si>
  <si>
    <t xml:space="preserve">C-725</t>
  </si>
  <si>
    <t xml:space="preserve">C-726</t>
  </si>
  <si>
    <t xml:space="preserve">C-727</t>
  </si>
  <si>
    <t xml:space="preserve">C-728</t>
  </si>
  <si>
    <t xml:space="preserve">C-729</t>
  </si>
  <si>
    <t xml:space="preserve">C-730</t>
  </si>
  <si>
    <t xml:space="preserve">C-731</t>
  </si>
  <si>
    <t xml:space="preserve">C-732</t>
  </si>
  <si>
    <t xml:space="preserve">C-733</t>
  </si>
  <si>
    <t xml:space="preserve">C-734</t>
  </si>
  <si>
    <t xml:space="preserve">C-735</t>
  </si>
  <si>
    <t xml:space="preserve">C-736</t>
  </si>
  <si>
    <t xml:space="preserve">C-737</t>
  </si>
  <si>
    <t xml:space="preserve">C-738</t>
  </si>
  <si>
    <t xml:space="preserve">C-739</t>
  </si>
  <si>
    <t xml:space="preserve">C-740</t>
  </si>
  <si>
    <t xml:space="preserve">C-741</t>
  </si>
  <si>
    <t xml:space="preserve">C-742</t>
  </si>
  <si>
    <t xml:space="preserve">C-743</t>
  </si>
  <si>
    <t xml:space="preserve">C-744</t>
  </si>
  <si>
    <t xml:space="preserve">C-745</t>
  </si>
  <si>
    <t xml:space="preserve">C-746</t>
  </si>
  <si>
    <t xml:space="preserve">C-747</t>
  </si>
  <si>
    <t xml:space="preserve">C-748</t>
  </si>
  <si>
    <t xml:space="preserve">C-749</t>
  </si>
  <si>
    <t xml:space="preserve">C-750</t>
  </si>
  <si>
    <t xml:space="preserve">C-751</t>
  </si>
  <si>
    <t xml:space="preserve">C-752</t>
  </si>
  <si>
    <t xml:space="preserve">C-753</t>
  </si>
  <si>
    <t xml:space="preserve">C-754</t>
  </si>
  <si>
    <t xml:space="preserve">C-755</t>
  </si>
  <si>
    <t xml:space="preserve">C-756</t>
  </si>
  <si>
    <t xml:space="preserve">C-757</t>
  </si>
  <si>
    <t xml:space="preserve">C-758</t>
  </si>
  <si>
    <t xml:space="preserve">C-759</t>
  </si>
  <si>
    <t xml:space="preserve">C-760</t>
  </si>
  <si>
    <t xml:space="preserve">C-761</t>
  </si>
  <si>
    <t xml:space="preserve">C-762</t>
  </si>
  <si>
    <t xml:space="preserve">C-763</t>
  </si>
  <si>
    <t xml:space="preserve">C-764</t>
  </si>
  <si>
    <t xml:space="preserve">C-765</t>
  </si>
  <si>
    <t xml:space="preserve">C-766</t>
  </si>
  <si>
    <t xml:space="preserve">C-767</t>
  </si>
  <si>
    <t xml:space="preserve">C-768</t>
  </si>
  <si>
    <t xml:space="preserve">C-769</t>
  </si>
  <si>
    <t xml:space="preserve">C-770</t>
  </si>
  <si>
    <t xml:space="preserve">C-771</t>
  </si>
  <si>
    <t xml:space="preserve">C-772</t>
  </si>
  <si>
    <t xml:space="preserve">C-773</t>
  </si>
  <si>
    <t xml:space="preserve">C-774</t>
  </si>
  <si>
    <t xml:space="preserve">C-775</t>
  </si>
  <si>
    <t xml:space="preserve">C-776</t>
  </si>
  <si>
    <t xml:space="preserve">C-777</t>
  </si>
  <si>
    <t xml:space="preserve">C-778</t>
  </si>
  <si>
    <t xml:space="preserve">C-779</t>
  </si>
  <si>
    <t xml:space="preserve">C-780</t>
  </si>
  <si>
    <t xml:space="preserve">C-781</t>
  </si>
  <si>
    <t xml:space="preserve">C-782</t>
  </si>
  <si>
    <t xml:space="preserve">C-783</t>
  </si>
  <si>
    <t xml:space="preserve">C-784</t>
  </si>
  <si>
    <t xml:space="preserve">C-785</t>
  </si>
  <si>
    <t xml:space="preserve">C-786</t>
  </si>
  <si>
    <t xml:space="preserve">C-787</t>
  </si>
  <si>
    <t xml:space="preserve">C-788</t>
  </si>
  <si>
    <t xml:space="preserve">C-789</t>
  </si>
  <si>
    <t xml:space="preserve">C-790</t>
  </si>
  <si>
    <t xml:space="preserve">C-791</t>
  </si>
  <si>
    <t xml:space="preserve">C-792</t>
  </si>
  <si>
    <t xml:space="preserve">C-793</t>
  </si>
  <si>
    <t xml:space="preserve">C-794</t>
  </si>
  <si>
    <t xml:space="preserve">C-795</t>
  </si>
  <si>
    <t xml:space="preserve">C-796</t>
  </si>
  <si>
    <t xml:space="preserve">C-797</t>
  </si>
  <si>
    <t xml:space="preserve">C-798</t>
  </si>
  <si>
    <t xml:space="preserve">C-799</t>
  </si>
  <si>
    <t xml:space="preserve">C-800</t>
  </si>
  <si>
    <t xml:space="preserve">C-801</t>
  </si>
  <si>
    <t xml:space="preserve">C-802</t>
  </si>
  <si>
    <t xml:space="preserve">C-803</t>
  </si>
  <si>
    <t xml:space="preserve">C-804</t>
  </si>
  <si>
    <t xml:space="preserve">C-805</t>
  </si>
  <si>
    <t xml:space="preserve">C-806</t>
  </si>
  <si>
    <t xml:space="preserve">C-807</t>
  </si>
  <si>
    <t xml:space="preserve">C-808</t>
  </si>
  <si>
    <t xml:space="preserve">C-809</t>
  </si>
  <si>
    <t xml:space="preserve">C-810</t>
  </si>
  <si>
    <t xml:space="preserve">C-811</t>
  </si>
  <si>
    <t xml:space="preserve">C-812</t>
  </si>
  <si>
    <t xml:space="preserve">C-813</t>
  </si>
  <si>
    <t xml:space="preserve">C-814</t>
  </si>
  <si>
    <t xml:space="preserve">C-815</t>
  </si>
  <si>
    <t xml:space="preserve">C-816</t>
  </si>
  <si>
    <t xml:space="preserve">C-817</t>
  </si>
  <si>
    <t xml:space="preserve">C-818</t>
  </si>
  <si>
    <t xml:space="preserve">C-819</t>
  </si>
  <si>
    <t xml:space="preserve">C-820</t>
  </si>
  <si>
    <t xml:space="preserve">C-821</t>
  </si>
  <si>
    <t xml:space="preserve">C-822</t>
  </si>
  <si>
    <t xml:space="preserve">C-823</t>
  </si>
  <si>
    <t xml:space="preserve">C-824</t>
  </si>
  <si>
    <t xml:space="preserve">C-825</t>
  </si>
  <si>
    <t xml:space="preserve">C-826</t>
  </si>
  <si>
    <t xml:space="preserve">C-827</t>
  </si>
  <si>
    <t xml:space="preserve">C-828</t>
  </si>
  <si>
    <t xml:space="preserve">C-829</t>
  </si>
  <si>
    <t xml:space="preserve">C-830</t>
  </si>
  <si>
    <t xml:space="preserve">C-831</t>
  </si>
  <si>
    <t xml:space="preserve">C-832</t>
  </si>
  <si>
    <t xml:space="preserve">C-833</t>
  </si>
  <si>
    <t xml:space="preserve">C-834</t>
  </si>
  <si>
    <t xml:space="preserve">C-835</t>
  </si>
  <si>
    <t xml:space="preserve">C-836</t>
  </si>
  <si>
    <t xml:space="preserve">C-837</t>
  </si>
  <si>
    <t xml:space="preserve">C-838</t>
  </si>
  <si>
    <t xml:space="preserve">C-839</t>
  </si>
  <si>
    <t xml:space="preserve">C-840</t>
  </si>
  <si>
    <t xml:space="preserve">C-841</t>
  </si>
  <si>
    <t xml:space="preserve">C-842</t>
  </si>
  <si>
    <t xml:space="preserve">C-843</t>
  </si>
  <si>
    <t xml:space="preserve">C-844</t>
  </si>
  <si>
    <t xml:space="preserve">C-845</t>
  </si>
  <si>
    <t xml:space="preserve">C-846</t>
  </si>
  <si>
    <t xml:space="preserve">C-847</t>
  </si>
  <si>
    <t xml:space="preserve">C-848</t>
  </si>
  <si>
    <t xml:space="preserve">C-849</t>
  </si>
  <si>
    <t xml:space="preserve">C-850</t>
  </si>
  <si>
    <t xml:space="preserve">C-851</t>
  </si>
  <si>
    <t xml:space="preserve">C-852</t>
  </si>
  <si>
    <t xml:space="preserve">C-853</t>
  </si>
  <si>
    <t xml:space="preserve">C-854</t>
  </si>
  <si>
    <t xml:space="preserve">C-855</t>
  </si>
  <si>
    <t xml:space="preserve">C-856</t>
  </si>
  <si>
    <t xml:space="preserve">C-857</t>
  </si>
  <si>
    <t xml:space="preserve">C-858</t>
  </si>
  <si>
    <t xml:space="preserve">C-859</t>
  </si>
  <si>
    <t xml:space="preserve">C-860</t>
  </si>
  <si>
    <t xml:space="preserve">C-861</t>
  </si>
  <si>
    <t xml:space="preserve">C-862</t>
  </si>
  <si>
    <t xml:space="preserve">C-863</t>
  </si>
  <si>
    <t xml:space="preserve">C-864</t>
  </si>
  <si>
    <t xml:space="preserve">C-865</t>
  </si>
  <si>
    <t xml:space="preserve">C-866</t>
  </si>
  <si>
    <t xml:space="preserve">C-867</t>
  </si>
  <si>
    <t xml:space="preserve">C-868</t>
  </si>
  <si>
    <t xml:space="preserve">C-869</t>
  </si>
  <si>
    <t xml:space="preserve">C-870</t>
  </si>
  <si>
    <t xml:space="preserve">C-871</t>
  </si>
  <si>
    <t xml:space="preserve">C-872</t>
  </si>
  <si>
    <t xml:space="preserve">C-873</t>
  </si>
  <si>
    <t xml:space="preserve">C-874</t>
  </si>
  <si>
    <t xml:space="preserve">C-875</t>
  </si>
  <si>
    <t xml:space="preserve">C-876</t>
  </si>
  <si>
    <t xml:space="preserve">C-877</t>
  </si>
  <si>
    <t xml:space="preserve">C-878</t>
  </si>
  <si>
    <t xml:space="preserve">C-879</t>
  </si>
  <si>
    <t xml:space="preserve">C-880</t>
  </si>
  <si>
    <t xml:space="preserve">C-881</t>
  </si>
  <si>
    <t xml:space="preserve">C-882</t>
  </si>
  <si>
    <t xml:space="preserve">C-883</t>
  </si>
  <si>
    <t xml:space="preserve">C-884</t>
  </si>
  <si>
    <t xml:space="preserve">C-885</t>
  </si>
  <si>
    <t xml:space="preserve">C-886</t>
  </si>
  <si>
    <t xml:space="preserve">C-887</t>
  </si>
  <si>
    <t xml:space="preserve">C-888</t>
  </si>
  <si>
    <t xml:space="preserve">C-889</t>
  </si>
  <si>
    <t xml:space="preserve">C-890</t>
  </si>
  <si>
    <t xml:space="preserve">C-891</t>
  </si>
  <si>
    <t xml:space="preserve">C-892</t>
  </si>
  <si>
    <t xml:space="preserve">C-893</t>
  </si>
  <si>
    <t xml:space="preserve">C-894</t>
  </si>
  <si>
    <t xml:space="preserve">C-895</t>
  </si>
  <si>
    <t xml:space="preserve">C-896</t>
  </si>
  <si>
    <t xml:space="preserve">C-897</t>
  </si>
  <si>
    <t xml:space="preserve">C-898</t>
  </si>
  <si>
    <t xml:space="preserve">C-899</t>
  </si>
  <si>
    <t xml:space="preserve">C-900</t>
  </si>
  <si>
    <t xml:space="preserve">C-901</t>
  </si>
  <si>
    <t xml:space="preserve">C-902</t>
  </si>
  <si>
    <t xml:space="preserve">C-903</t>
  </si>
  <si>
    <t xml:space="preserve">C-904</t>
  </si>
  <si>
    <t xml:space="preserve">C-905</t>
  </si>
  <si>
    <t xml:space="preserve">C-906</t>
  </si>
  <si>
    <t xml:space="preserve">C-907</t>
  </si>
  <si>
    <t xml:space="preserve">C-908</t>
  </si>
  <si>
    <t xml:space="preserve">C-909</t>
  </si>
  <si>
    <t xml:space="preserve">C-910</t>
  </si>
  <si>
    <t xml:space="preserve">C-911</t>
  </si>
  <si>
    <t xml:space="preserve">C-912</t>
  </si>
  <si>
    <t xml:space="preserve">C-913</t>
  </si>
  <si>
    <t xml:space="preserve">C-914</t>
  </si>
  <si>
    <t xml:space="preserve">C-915</t>
  </si>
  <si>
    <t xml:space="preserve">C-916</t>
  </si>
  <si>
    <t xml:space="preserve">C-917</t>
  </si>
  <si>
    <t xml:space="preserve">C-918</t>
  </si>
  <si>
    <t xml:space="preserve">C-919</t>
  </si>
  <si>
    <t xml:space="preserve">C-920</t>
  </si>
  <si>
    <t xml:space="preserve">C-921</t>
  </si>
  <si>
    <t xml:space="preserve">C-922</t>
  </si>
  <si>
    <t xml:space="preserve">C-923</t>
  </si>
  <si>
    <t xml:space="preserve">C-924</t>
  </si>
  <si>
    <t xml:space="preserve">C-925</t>
  </si>
  <si>
    <t xml:space="preserve">C-926</t>
  </si>
  <si>
    <t xml:space="preserve">C-927</t>
  </si>
  <si>
    <t xml:space="preserve">C-928</t>
  </si>
  <si>
    <t xml:space="preserve">C-929</t>
  </si>
  <si>
    <t xml:space="preserve">C-930</t>
  </si>
  <si>
    <t xml:space="preserve">C-931</t>
  </si>
  <si>
    <t xml:space="preserve">C-932</t>
  </si>
  <si>
    <t xml:space="preserve">C-933</t>
  </si>
  <si>
    <t xml:space="preserve">C-934</t>
  </si>
  <si>
    <t xml:space="preserve">C-935</t>
  </si>
  <si>
    <t xml:space="preserve">C-936</t>
  </si>
  <si>
    <t xml:space="preserve">C-937</t>
  </si>
  <si>
    <t xml:space="preserve">C-938</t>
  </si>
  <si>
    <t xml:space="preserve">C-939</t>
  </si>
  <si>
    <t xml:space="preserve">C-940</t>
  </si>
  <si>
    <t xml:space="preserve">C-941</t>
  </si>
  <si>
    <t xml:space="preserve">C-942</t>
  </si>
  <si>
    <t xml:space="preserve">C-943</t>
  </si>
  <si>
    <t xml:space="preserve">C-944</t>
  </si>
  <si>
    <t xml:space="preserve">C-945</t>
  </si>
  <si>
    <t xml:space="preserve">C-946</t>
  </si>
  <si>
    <t xml:space="preserve">C-947</t>
  </si>
  <si>
    <t xml:space="preserve">C-948</t>
  </si>
  <si>
    <t xml:space="preserve">C-949</t>
  </si>
  <si>
    <t xml:space="preserve">C-950</t>
  </si>
  <si>
    <t xml:space="preserve">C-951</t>
  </si>
  <si>
    <t xml:space="preserve">C-952</t>
  </si>
  <si>
    <t xml:space="preserve">C-953</t>
  </si>
  <si>
    <t xml:space="preserve">C-954</t>
  </si>
  <si>
    <t xml:space="preserve">C-955</t>
  </si>
  <si>
    <t xml:space="preserve">C-956</t>
  </si>
  <si>
    <t xml:space="preserve">C-957</t>
  </si>
  <si>
    <t xml:space="preserve">C-958</t>
  </si>
  <si>
    <t xml:space="preserve">C-959</t>
  </si>
  <si>
    <t xml:space="preserve">C-960</t>
  </si>
  <si>
    <t xml:space="preserve">C-961</t>
  </si>
  <si>
    <t xml:space="preserve">C-962</t>
  </si>
  <si>
    <t xml:space="preserve">C-963</t>
  </si>
  <si>
    <t xml:space="preserve">C-964</t>
  </si>
  <si>
    <t xml:space="preserve">C-965</t>
  </si>
  <si>
    <t xml:space="preserve">C-966</t>
  </si>
  <si>
    <t xml:space="preserve">C-967</t>
  </si>
  <si>
    <t xml:space="preserve">C-968</t>
  </si>
  <si>
    <t xml:space="preserve">C-969</t>
  </si>
  <si>
    <t xml:space="preserve">C-970</t>
  </si>
  <si>
    <t xml:space="preserve">C-971</t>
  </si>
  <si>
    <t xml:space="preserve">C-972</t>
  </si>
  <si>
    <t xml:space="preserve">C-973</t>
  </si>
  <si>
    <t xml:space="preserve">C-974</t>
  </si>
  <si>
    <t xml:space="preserve">C-975</t>
  </si>
  <si>
    <t xml:space="preserve">C-976</t>
  </si>
  <si>
    <t xml:space="preserve">C-977</t>
  </si>
  <si>
    <t xml:space="preserve">C-978</t>
  </si>
  <si>
    <t xml:space="preserve">C-979</t>
  </si>
  <si>
    <t xml:space="preserve">C-980</t>
  </si>
  <si>
    <t xml:space="preserve">C-981</t>
  </si>
  <si>
    <t xml:space="preserve">C-982</t>
  </si>
  <si>
    <t xml:space="preserve">C-983</t>
  </si>
  <si>
    <t xml:space="preserve">C-984</t>
  </si>
  <si>
    <t xml:space="preserve">C-985</t>
  </si>
  <si>
    <t xml:space="preserve">C-986</t>
  </si>
  <si>
    <t xml:space="preserve">C-987</t>
  </si>
  <si>
    <t xml:space="preserve">C-988</t>
  </si>
  <si>
    <t xml:space="preserve">C-989</t>
  </si>
  <si>
    <t xml:space="preserve">C-990</t>
  </si>
  <si>
    <t xml:space="preserve">C-991</t>
  </si>
  <si>
    <t xml:space="preserve">C-992</t>
  </si>
  <si>
    <t xml:space="preserve">C-993</t>
  </si>
  <si>
    <t xml:space="preserve">C-994</t>
  </si>
  <si>
    <t xml:space="preserve">C-995</t>
  </si>
  <si>
    <t xml:space="preserve">C-996</t>
  </si>
  <si>
    <t xml:space="preserve">C-997</t>
  </si>
  <si>
    <t xml:space="preserve">C-998</t>
  </si>
  <si>
    <t xml:space="preserve">C-999</t>
  </si>
  <si>
    <t xml:space="preserve">C-1000</t>
  </si>
  <si>
    <t xml:space="preserve">C-1001</t>
  </si>
  <si>
    <t xml:space="preserve">C-1002</t>
  </si>
  <si>
    <t xml:space="preserve">C-1003</t>
  </si>
  <si>
    <t xml:space="preserve">C-1004</t>
  </si>
  <si>
    <t xml:space="preserve">C-1005</t>
  </si>
  <si>
    <t xml:space="preserve">C-1006</t>
  </si>
  <si>
    <t xml:space="preserve">C-1007</t>
  </si>
  <si>
    <t xml:space="preserve">C-1008</t>
  </si>
  <si>
    <t xml:space="preserve">C-1009</t>
  </si>
  <si>
    <t xml:space="preserve">C-1010</t>
  </si>
  <si>
    <t xml:space="preserve">C-1011</t>
  </si>
  <si>
    <t xml:space="preserve">C-1012</t>
  </si>
  <si>
    <t xml:space="preserve">C-1013</t>
  </si>
  <si>
    <t xml:space="preserve">C-1014</t>
  </si>
  <si>
    <t xml:space="preserve">C-1015</t>
  </si>
  <si>
    <t xml:space="preserve">C-1016</t>
  </si>
  <si>
    <t xml:space="preserve">C-1017</t>
  </si>
  <si>
    <t xml:space="preserve">C-1018</t>
  </si>
  <si>
    <t xml:space="preserve">C-1019</t>
  </si>
  <si>
    <t xml:space="preserve">C-1020</t>
  </si>
  <si>
    <t xml:space="preserve">C-1021</t>
  </si>
  <si>
    <t xml:space="preserve">C-1022</t>
  </si>
  <si>
    <t xml:space="preserve">C-1023</t>
  </si>
  <si>
    <t xml:space="preserve">C-1024</t>
  </si>
  <si>
    <t xml:space="preserve">C-1025</t>
  </si>
  <si>
    <t xml:space="preserve">C-1026</t>
  </si>
  <si>
    <t xml:space="preserve">C-1027</t>
  </si>
  <si>
    <t xml:space="preserve">C-1028</t>
  </si>
  <si>
    <t xml:space="preserve">C-1029</t>
  </si>
  <si>
    <t xml:space="preserve">C-1030</t>
  </si>
  <si>
    <t xml:space="preserve">C-1031</t>
  </si>
  <si>
    <t xml:space="preserve">C-1032</t>
  </si>
  <si>
    <t xml:space="preserve">C-1033</t>
  </si>
  <si>
    <t xml:space="preserve">C-1034</t>
  </si>
  <si>
    <t xml:space="preserve">C-1035</t>
  </si>
  <si>
    <t xml:space="preserve">C-1036</t>
  </si>
  <si>
    <t xml:space="preserve">C-1037</t>
  </si>
  <si>
    <t xml:space="preserve">C-1038</t>
  </si>
  <si>
    <t xml:space="preserve">C-1039</t>
  </si>
  <si>
    <t xml:space="preserve">C-1040</t>
  </si>
  <si>
    <t xml:space="preserve">C-1041</t>
  </si>
  <si>
    <t xml:space="preserve">C-1042</t>
  </si>
  <si>
    <t xml:space="preserve">C-1043</t>
  </si>
  <si>
    <t xml:space="preserve">C-1044</t>
  </si>
  <si>
    <t xml:space="preserve">C-1045</t>
  </si>
  <si>
    <t xml:space="preserve">C-1046</t>
  </si>
  <si>
    <t xml:space="preserve">C-1047</t>
  </si>
  <si>
    <t xml:space="preserve">C-1048</t>
  </si>
  <si>
    <t xml:space="preserve">C-1049</t>
  </si>
  <si>
    <t xml:space="preserve">C-1050</t>
  </si>
  <si>
    <t xml:space="preserve">C-1051</t>
  </si>
  <si>
    <t xml:space="preserve">C-1052</t>
  </si>
  <si>
    <t xml:space="preserve">C-1053</t>
  </si>
  <si>
    <t xml:space="preserve">C-1054</t>
  </si>
  <si>
    <t xml:space="preserve">C-1055</t>
  </si>
  <si>
    <t xml:space="preserve">C-1056</t>
  </si>
  <si>
    <t xml:space="preserve">C-1057</t>
  </si>
  <si>
    <t xml:space="preserve">C-1058</t>
  </si>
  <si>
    <t xml:space="preserve">C-1059</t>
  </si>
  <si>
    <t xml:space="preserve">C-1060</t>
  </si>
  <si>
    <t xml:space="preserve">C-1061</t>
  </si>
  <si>
    <t xml:space="preserve">C-1062</t>
  </si>
  <si>
    <t xml:space="preserve">C-1063</t>
  </si>
  <si>
    <t xml:space="preserve">C-1064</t>
  </si>
  <si>
    <t xml:space="preserve">C-1065</t>
  </si>
  <si>
    <t xml:space="preserve">C-1066</t>
  </si>
  <si>
    <t xml:space="preserve">C-1067</t>
  </si>
  <si>
    <t xml:space="preserve">C-1068</t>
  </si>
  <si>
    <t xml:space="preserve">C-1069</t>
  </si>
  <si>
    <t xml:space="preserve">C-1070</t>
  </si>
  <si>
    <t xml:space="preserve">C-1071</t>
  </si>
  <si>
    <t xml:space="preserve">C-1072</t>
  </si>
  <si>
    <t xml:space="preserve">C-1073</t>
  </si>
  <si>
    <t xml:space="preserve">C-1074</t>
  </si>
  <si>
    <t xml:space="preserve">C-1075</t>
  </si>
  <si>
    <t xml:space="preserve">C-1076</t>
  </si>
  <si>
    <t xml:space="preserve">C-1077</t>
  </si>
  <si>
    <t xml:space="preserve">C-1078</t>
  </si>
  <si>
    <t xml:space="preserve">C-1079</t>
  </si>
  <si>
    <t xml:space="preserve">C-1080</t>
  </si>
  <si>
    <t xml:space="preserve">C-1081</t>
  </si>
  <si>
    <t xml:space="preserve">C-1082</t>
  </si>
  <si>
    <t xml:space="preserve">C-1083</t>
  </si>
  <si>
    <t xml:space="preserve">C-1084</t>
  </si>
  <si>
    <t xml:space="preserve">C-1085</t>
  </si>
  <si>
    <t xml:space="preserve">C-1086</t>
  </si>
  <si>
    <t xml:space="preserve">C-1087</t>
  </si>
  <si>
    <t xml:space="preserve">C-1088</t>
  </si>
  <si>
    <t xml:space="preserve">C-1089</t>
  </si>
  <si>
    <t xml:space="preserve">C-1090</t>
  </si>
  <si>
    <t xml:space="preserve">C-1091</t>
  </si>
  <si>
    <t xml:space="preserve">C-1092</t>
  </si>
  <si>
    <t xml:space="preserve">C-1093</t>
  </si>
  <si>
    <t xml:space="preserve">C-1094</t>
  </si>
  <si>
    <t xml:space="preserve">C-1095</t>
  </si>
  <si>
    <t xml:space="preserve">C-1096</t>
  </si>
  <si>
    <t xml:space="preserve">C-1097</t>
  </si>
  <si>
    <t xml:space="preserve">C-1098</t>
  </si>
  <si>
    <t xml:space="preserve">C-1099</t>
  </si>
  <si>
    <t xml:space="preserve">C-1100</t>
  </si>
  <si>
    <t xml:space="preserve">C-1101</t>
  </si>
  <si>
    <t xml:space="preserve">C-1102</t>
  </si>
  <si>
    <t xml:space="preserve">C-1103</t>
  </si>
  <si>
    <t xml:space="preserve">C-1104</t>
  </si>
  <si>
    <t xml:space="preserve">C-1105</t>
  </si>
  <si>
    <t xml:space="preserve">C-1106</t>
  </si>
  <si>
    <t xml:space="preserve">C-1107</t>
  </si>
  <si>
    <t xml:space="preserve">C-1108</t>
  </si>
  <si>
    <t xml:space="preserve">C-1109</t>
  </si>
  <si>
    <t xml:space="preserve">C-1110</t>
  </si>
  <si>
    <t xml:space="preserve">C-1111</t>
  </si>
  <si>
    <t xml:space="preserve">C-1112</t>
  </si>
  <si>
    <t xml:space="preserve">C-1113</t>
  </si>
  <si>
    <t xml:space="preserve">C-1114</t>
  </si>
  <si>
    <t xml:space="preserve">C-1115</t>
  </si>
  <si>
    <t xml:space="preserve">C-1116</t>
  </si>
  <si>
    <t xml:space="preserve">C-1117</t>
  </si>
  <si>
    <t xml:space="preserve">C-1118</t>
  </si>
  <si>
    <t xml:space="preserve">C-1119</t>
  </si>
  <si>
    <t xml:space="preserve">C-1120</t>
  </si>
  <si>
    <t xml:space="preserve">C-1121</t>
  </si>
  <si>
    <t xml:space="preserve">C-1122</t>
  </si>
  <si>
    <t xml:space="preserve">C-1123</t>
  </si>
  <si>
    <t xml:space="preserve">C-1124</t>
  </si>
  <si>
    <t xml:space="preserve">C-1125</t>
  </si>
  <si>
    <t xml:space="preserve">C-1126</t>
  </si>
  <si>
    <t xml:space="preserve">C-1127</t>
  </si>
  <si>
    <t xml:space="preserve">C-1128</t>
  </si>
  <si>
    <t xml:space="preserve">C-1129</t>
  </si>
  <si>
    <t xml:space="preserve">C-1130</t>
  </si>
  <si>
    <t xml:space="preserve">C-1131</t>
  </si>
  <si>
    <t xml:space="preserve">C-1132</t>
  </si>
  <si>
    <t xml:space="preserve">C-1133</t>
  </si>
  <si>
    <t xml:space="preserve">C-1134</t>
  </si>
  <si>
    <t xml:space="preserve">C-1135</t>
  </si>
  <si>
    <t xml:space="preserve">C-1136</t>
  </si>
  <si>
    <t xml:space="preserve">C-1137</t>
  </si>
  <si>
    <t xml:space="preserve">C-1138</t>
  </si>
  <si>
    <t xml:space="preserve">C-1139</t>
  </si>
  <si>
    <t xml:space="preserve">C-1140</t>
  </si>
  <si>
    <t xml:space="preserve">C-1141</t>
  </si>
  <si>
    <t xml:space="preserve">C-1142</t>
  </si>
  <si>
    <t xml:space="preserve">C-1143</t>
  </si>
  <si>
    <t xml:space="preserve">C-1144</t>
  </si>
  <si>
    <t xml:space="preserve">C-1145</t>
  </si>
  <si>
    <t xml:space="preserve">C-1146</t>
  </si>
  <si>
    <t xml:space="preserve">C-1147</t>
  </si>
  <si>
    <t xml:space="preserve">C-1148</t>
  </si>
  <si>
    <t xml:space="preserve">C-1149</t>
  </si>
  <si>
    <t xml:space="preserve">C-1150</t>
  </si>
  <si>
    <t xml:space="preserve">C-1151</t>
  </si>
  <si>
    <t xml:space="preserve">C-1152</t>
  </si>
  <si>
    <t xml:space="preserve">C-1153</t>
  </si>
  <si>
    <t xml:space="preserve">C-1154</t>
  </si>
  <si>
    <t xml:space="preserve">C-1155</t>
  </si>
  <si>
    <t xml:space="preserve">C-1156</t>
  </si>
  <si>
    <t xml:space="preserve">C-1157</t>
  </si>
  <si>
    <t xml:space="preserve">C-1158</t>
  </si>
  <si>
    <t xml:space="preserve">C-1159</t>
  </si>
  <si>
    <t xml:space="preserve">C-1160</t>
  </si>
  <si>
    <t xml:space="preserve">C-1161</t>
  </si>
  <si>
    <t xml:space="preserve">C-1162</t>
  </si>
  <si>
    <t xml:space="preserve">C-1163</t>
  </si>
  <si>
    <t xml:space="preserve">C-1164</t>
  </si>
  <si>
    <t xml:space="preserve">C-1165</t>
  </si>
  <si>
    <t xml:space="preserve">C-1166</t>
  </si>
  <si>
    <t xml:space="preserve">C-1167</t>
  </si>
  <si>
    <t xml:space="preserve">C-1168</t>
  </si>
  <si>
    <t xml:space="preserve">C-1169</t>
  </si>
  <si>
    <t xml:space="preserve">C-1170</t>
  </si>
  <si>
    <t xml:space="preserve">C-1171</t>
  </si>
  <si>
    <t xml:space="preserve">C-1172</t>
  </si>
  <si>
    <t xml:space="preserve">C-1173</t>
  </si>
  <si>
    <t xml:space="preserve">C-1174</t>
  </si>
  <si>
    <t xml:space="preserve">C-1175</t>
  </si>
  <si>
    <t xml:space="preserve">C-1176</t>
  </si>
  <si>
    <t xml:space="preserve">C-1177</t>
  </si>
  <si>
    <t xml:space="preserve">C-1178</t>
  </si>
  <si>
    <t xml:space="preserve">C-1179</t>
  </si>
  <si>
    <t xml:space="preserve">C-1180</t>
  </si>
  <si>
    <t xml:space="preserve">C-1181</t>
  </si>
  <si>
    <t xml:space="preserve">C-1182</t>
  </si>
  <si>
    <t xml:space="preserve">C-1183</t>
  </si>
  <si>
    <t xml:space="preserve">C-1184</t>
  </si>
  <si>
    <t xml:space="preserve">C-1185</t>
  </si>
  <si>
    <t xml:space="preserve">C-1186</t>
  </si>
  <si>
    <t xml:space="preserve">C-1187</t>
  </si>
  <si>
    <t xml:space="preserve">C-1188</t>
  </si>
  <si>
    <t xml:space="preserve">C-1189</t>
  </si>
  <si>
    <t xml:space="preserve">C-1190</t>
  </si>
  <si>
    <t xml:space="preserve">C-1191</t>
  </si>
  <si>
    <t xml:space="preserve">C-1192</t>
  </si>
  <si>
    <t xml:space="preserve">C-1193</t>
  </si>
  <si>
    <t xml:space="preserve">C-1194</t>
  </si>
  <si>
    <t xml:space="preserve">C-1195</t>
  </si>
  <si>
    <t xml:space="preserve">C-1196</t>
  </si>
  <si>
    <t xml:space="preserve">C-1197</t>
  </si>
  <si>
    <t xml:space="preserve">C-1198</t>
  </si>
  <si>
    <t xml:space="preserve">C-1199</t>
  </si>
  <si>
    <t xml:space="preserve">C-1200</t>
  </si>
  <si>
    <t xml:space="preserve">C-1201</t>
  </si>
  <si>
    <t xml:space="preserve">C-1202</t>
  </si>
  <si>
    <t xml:space="preserve">C-1203</t>
  </si>
  <si>
    <t xml:space="preserve">C-1204</t>
  </si>
  <si>
    <t xml:space="preserve">C-1205</t>
  </si>
  <si>
    <t xml:space="preserve">C-1206</t>
  </si>
  <si>
    <t xml:space="preserve">C-1207</t>
  </si>
  <si>
    <t xml:space="preserve">C-1208</t>
  </si>
  <si>
    <t xml:space="preserve">C-1209</t>
  </si>
  <si>
    <t xml:space="preserve">C-1210</t>
  </si>
  <si>
    <t xml:space="preserve">C-1211</t>
  </si>
  <si>
    <t xml:space="preserve">C-1212</t>
  </si>
  <si>
    <t xml:space="preserve">C-1213</t>
  </si>
  <si>
    <t xml:space="preserve">C-1214</t>
  </si>
  <si>
    <t xml:space="preserve">C-1215</t>
  </si>
  <si>
    <t xml:space="preserve">C-1216</t>
  </si>
  <si>
    <t xml:space="preserve">C-1217</t>
  </si>
  <si>
    <t xml:space="preserve">C-1218</t>
  </si>
  <si>
    <t xml:space="preserve">C-1219</t>
  </si>
  <si>
    <t xml:space="preserve">C-1220</t>
  </si>
  <si>
    <t xml:space="preserve">C-1221</t>
  </si>
  <si>
    <t xml:space="preserve">C-1222</t>
  </si>
  <si>
    <t xml:space="preserve">C-1223</t>
  </si>
  <si>
    <t xml:space="preserve">C-1224</t>
  </si>
  <si>
    <t xml:space="preserve">C-1225</t>
  </si>
  <si>
    <t xml:space="preserve">C-1226</t>
  </si>
  <si>
    <t xml:space="preserve">C-1227</t>
  </si>
  <si>
    <t xml:space="preserve">C-1228</t>
  </si>
  <si>
    <t xml:space="preserve">C-1229</t>
  </si>
  <si>
    <t xml:space="preserve">C-1230</t>
  </si>
  <si>
    <t xml:space="preserve">C-1231</t>
  </si>
  <si>
    <t xml:space="preserve">C-1232</t>
  </si>
  <si>
    <t xml:space="preserve">C-1233</t>
  </si>
  <si>
    <t xml:space="preserve">C-1234</t>
  </si>
  <si>
    <t xml:space="preserve">C-1235</t>
  </si>
  <si>
    <t xml:space="preserve">C-1236</t>
  </si>
  <si>
    <t xml:space="preserve">C-1237</t>
  </si>
  <si>
    <t xml:space="preserve">C-1238</t>
  </si>
  <si>
    <t xml:space="preserve">C-1239</t>
  </si>
  <si>
    <t xml:space="preserve">C-1240</t>
  </si>
  <si>
    <t xml:space="preserve">C-1241</t>
  </si>
  <si>
    <t xml:space="preserve">C-1242</t>
  </si>
  <si>
    <t xml:space="preserve">C-1243</t>
  </si>
  <si>
    <t xml:space="preserve">C-1244</t>
  </si>
  <si>
    <t xml:space="preserve">C-1245</t>
  </si>
  <si>
    <t xml:space="preserve">C-1246</t>
  </si>
  <si>
    <t xml:space="preserve">C-1247</t>
  </si>
  <si>
    <t xml:space="preserve">C-1248</t>
  </si>
  <si>
    <t xml:space="preserve">C-1249</t>
  </si>
  <si>
    <t xml:space="preserve">C-1250</t>
  </si>
  <si>
    <t xml:space="preserve">C-1251</t>
  </si>
  <si>
    <t xml:space="preserve">C-1252</t>
  </si>
  <si>
    <t xml:space="preserve">C-1253</t>
  </si>
  <si>
    <t xml:space="preserve">C-1254</t>
  </si>
  <si>
    <t xml:space="preserve">C-1255</t>
  </si>
  <si>
    <t xml:space="preserve">C-1256</t>
  </si>
  <si>
    <t xml:space="preserve">C-1257</t>
  </si>
  <si>
    <t xml:space="preserve">C-1258</t>
  </si>
  <si>
    <t xml:space="preserve">C-1259</t>
  </si>
  <si>
    <t xml:space="preserve">C-1260</t>
  </si>
  <si>
    <t xml:space="preserve">C-1261</t>
  </si>
  <si>
    <t xml:space="preserve">C-1262</t>
  </si>
  <si>
    <t xml:space="preserve">C-1263</t>
  </si>
  <si>
    <t xml:space="preserve">C-1264</t>
  </si>
  <si>
    <t xml:space="preserve">C-1265</t>
  </si>
  <si>
    <t xml:space="preserve">C-1266</t>
  </si>
  <si>
    <t xml:space="preserve">C-1267</t>
  </si>
  <si>
    <t xml:space="preserve">C-1268</t>
  </si>
  <si>
    <t xml:space="preserve">C-1269</t>
  </si>
  <si>
    <t xml:space="preserve">C-1270</t>
  </si>
  <si>
    <t xml:space="preserve">C-1271</t>
  </si>
  <si>
    <t xml:space="preserve">C-1272</t>
  </si>
  <si>
    <t xml:space="preserve">C-1273</t>
  </si>
  <si>
    <t xml:space="preserve">C-1274</t>
  </si>
  <si>
    <t xml:space="preserve">C-1275</t>
  </si>
  <si>
    <t xml:space="preserve">C-1276</t>
  </si>
  <si>
    <t xml:space="preserve">C-1277</t>
  </si>
  <si>
    <t xml:space="preserve">C-1278</t>
  </si>
  <si>
    <t xml:space="preserve">C-1279</t>
  </si>
  <si>
    <t xml:space="preserve">C-1280</t>
  </si>
  <si>
    <t xml:space="preserve">C-1281</t>
  </si>
  <si>
    <t xml:space="preserve">C-1282</t>
  </si>
  <si>
    <t xml:space="preserve">C-1283</t>
  </si>
  <si>
    <t xml:space="preserve">C-1284</t>
  </si>
  <si>
    <t xml:space="preserve">C-1285</t>
  </si>
  <si>
    <t xml:space="preserve">C-1286</t>
  </si>
  <si>
    <t xml:space="preserve">C-1287</t>
  </si>
  <si>
    <t xml:space="preserve">C-1288</t>
  </si>
  <si>
    <t xml:space="preserve">C-1289</t>
  </si>
  <si>
    <t xml:space="preserve">C-1290</t>
  </si>
  <si>
    <t xml:space="preserve">C-1291</t>
  </si>
  <si>
    <t xml:space="preserve">C-1292</t>
  </si>
  <si>
    <t xml:space="preserve">C-1293</t>
  </si>
  <si>
    <t xml:space="preserve">C-1294</t>
  </si>
  <si>
    <t xml:space="preserve">C-1295</t>
  </si>
  <si>
    <t xml:space="preserve">C-1296</t>
  </si>
  <si>
    <t xml:space="preserve">C-1297</t>
  </si>
  <si>
    <t xml:space="preserve">C-1298</t>
  </si>
  <si>
    <t xml:space="preserve">C-1299</t>
  </si>
  <si>
    <t xml:space="preserve">C-1300</t>
  </si>
  <si>
    <t xml:space="preserve">C-1301</t>
  </si>
  <si>
    <t xml:space="preserve">C-1302</t>
  </si>
  <si>
    <t xml:space="preserve">C-1303</t>
  </si>
  <si>
    <t xml:space="preserve">C-1304</t>
  </si>
  <si>
    <t xml:space="preserve">C-1305</t>
  </si>
  <si>
    <t xml:space="preserve">C-1306</t>
  </si>
  <si>
    <t xml:space="preserve">C-1307</t>
  </si>
  <si>
    <t xml:space="preserve">C-1308</t>
  </si>
  <si>
    <t xml:space="preserve">C-1309</t>
  </si>
  <si>
    <t xml:space="preserve">C-1310</t>
  </si>
  <si>
    <t xml:space="preserve">C-1311</t>
  </si>
  <si>
    <t xml:space="preserve">C-1312</t>
  </si>
  <si>
    <t xml:space="preserve">C-1313</t>
  </si>
  <si>
    <t xml:space="preserve">C-1314</t>
  </si>
  <si>
    <t xml:space="preserve">C-1315</t>
  </si>
  <si>
    <t xml:space="preserve">C-1316</t>
  </si>
  <si>
    <t xml:space="preserve">C-1317</t>
  </si>
  <si>
    <t xml:space="preserve">C-1318</t>
  </si>
  <si>
    <t xml:space="preserve">C-1319</t>
  </si>
  <si>
    <t xml:space="preserve">C-1320</t>
  </si>
  <si>
    <t xml:space="preserve">C-1321</t>
  </si>
  <si>
    <t xml:space="preserve">C-1322</t>
  </si>
  <si>
    <t xml:space="preserve">C-1323</t>
  </si>
  <si>
    <t xml:space="preserve">C-1324</t>
  </si>
  <si>
    <t xml:space="preserve">C-1325</t>
  </si>
  <si>
    <t xml:space="preserve">C-1326</t>
  </si>
  <si>
    <t xml:space="preserve">C-1327</t>
  </si>
  <si>
    <t xml:space="preserve">C-1328</t>
  </si>
  <si>
    <t xml:space="preserve">C-1329</t>
  </si>
  <si>
    <t xml:space="preserve">C-1330</t>
  </si>
  <si>
    <t xml:space="preserve">C-1331</t>
  </si>
  <si>
    <t xml:space="preserve">C-1332</t>
  </si>
  <si>
    <t xml:space="preserve">C-1333</t>
  </si>
  <si>
    <t xml:space="preserve">C-1334</t>
  </si>
  <si>
    <t xml:space="preserve">C-1335</t>
  </si>
  <si>
    <t xml:space="preserve">C-1336</t>
  </si>
  <si>
    <t xml:space="preserve">C-1337</t>
  </si>
  <si>
    <t xml:space="preserve">C-1338</t>
  </si>
  <si>
    <t xml:space="preserve">C-1339</t>
  </si>
  <si>
    <t xml:space="preserve">C-1340</t>
  </si>
  <si>
    <t xml:space="preserve">C-1341</t>
  </si>
  <si>
    <t xml:space="preserve">C-1342</t>
  </si>
  <si>
    <t xml:space="preserve">C-1343</t>
  </si>
  <si>
    <t xml:space="preserve">C-1344</t>
  </si>
  <si>
    <t xml:space="preserve">C-1345</t>
  </si>
  <si>
    <t xml:space="preserve">C-1346</t>
  </si>
  <si>
    <t xml:space="preserve">C-1347</t>
  </si>
  <si>
    <t xml:space="preserve">C-1348</t>
  </si>
  <si>
    <t xml:space="preserve">C-1349</t>
  </si>
  <si>
    <t xml:space="preserve">C-1350</t>
  </si>
  <si>
    <t xml:space="preserve">C-1351</t>
  </si>
  <si>
    <t xml:space="preserve">C-1352</t>
  </si>
  <si>
    <t xml:space="preserve">C-1353</t>
  </si>
  <si>
    <t xml:space="preserve">C-1354</t>
  </si>
  <si>
    <t xml:space="preserve">C-1355</t>
  </si>
  <si>
    <t xml:space="preserve">C-1356</t>
  </si>
  <si>
    <t xml:space="preserve">C-1357</t>
  </si>
  <si>
    <t xml:space="preserve">C-1358</t>
  </si>
  <si>
    <t xml:space="preserve">C-1359</t>
  </si>
  <si>
    <t xml:space="preserve">C-1360</t>
  </si>
  <si>
    <t xml:space="preserve">C-1361</t>
  </si>
  <si>
    <t xml:space="preserve">C-1362</t>
  </si>
  <si>
    <t xml:space="preserve">C-1363</t>
  </si>
  <si>
    <t xml:space="preserve">C-1364</t>
  </si>
  <si>
    <t xml:space="preserve">C-1365</t>
  </si>
  <si>
    <t xml:space="preserve">C-1366</t>
  </si>
  <si>
    <t xml:space="preserve">C-1367</t>
  </si>
  <si>
    <t xml:space="preserve">C-1368</t>
  </si>
  <si>
    <t xml:space="preserve">C-1369</t>
  </si>
  <si>
    <t xml:space="preserve">C-1370</t>
  </si>
  <si>
    <t xml:space="preserve">C-1371</t>
  </si>
  <si>
    <t xml:space="preserve">C-1372</t>
  </si>
  <si>
    <t xml:space="preserve">C-1373</t>
  </si>
  <si>
    <t xml:space="preserve">C-1374</t>
  </si>
  <si>
    <t xml:space="preserve">C-1375</t>
  </si>
  <si>
    <t xml:space="preserve">C-1376</t>
  </si>
  <si>
    <t xml:space="preserve">C-1377</t>
  </si>
  <si>
    <t xml:space="preserve">C-1378</t>
  </si>
  <si>
    <t xml:space="preserve">C-1379</t>
  </si>
  <si>
    <t xml:space="preserve">C-1380</t>
  </si>
  <si>
    <t xml:space="preserve">C-1381</t>
  </si>
  <si>
    <t xml:space="preserve">C-1382</t>
  </si>
  <si>
    <t xml:space="preserve">C-1383</t>
  </si>
  <si>
    <t xml:space="preserve">C-1384</t>
  </si>
  <si>
    <t xml:space="preserve">C-1385</t>
  </si>
  <si>
    <t xml:space="preserve">C-1386</t>
  </si>
  <si>
    <t xml:space="preserve">C-1387</t>
  </si>
  <si>
    <t xml:space="preserve">C-1388</t>
  </si>
  <si>
    <t xml:space="preserve">C-1389</t>
  </si>
  <si>
    <t xml:space="preserve">C-1390</t>
  </si>
  <si>
    <t xml:space="preserve">C-1391</t>
  </si>
  <si>
    <t xml:space="preserve">C-1392</t>
  </si>
  <si>
    <t xml:space="preserve">C-1393</t>
  </si>
  <si>
    <t xml:space="preserve">C-1394</t>
  </si>
  <si>
    <t xml:space="preserve">C-1395</t>
  </si>
  <si>
    <t xml:space="preserve">C-1396</t>
  </si>
  <si>
    <t xml:space="preserve">C-1397</t>
  </si>
  <si>
    <t xml:space="preserve">C-1398</t>
  </si>
  <si>
    <t xml:space="preserve">C-1399</t>
  </si>
  <si>
    <t xml:space="preserve">C-1400</t>
  </si>
  <si>
    <t xml:space="preserve">C-1401</t>
  </si>
  <si>
    <t xml:space="preserve">C-1402</t>
  </si>
  <si>
    <t xml:space="preserve">C-1403</t>
  </si>
  <si>
    <t xml:space="preserve">C-1404</t>
  </si>
  <si>
    <t xml:space="preserve">C-1405</t>
  </si>
  <si>
    <t xml:space="preserve">C-1406</t>
  </si>
  <si>
    <t xml:space="preserve">C-1407</t>
  </si>
  <si>
    <t xml:space="preserve">C-1408</t>
  </si>
  <si>
    <t xml:space="preserve">C-1409</t>
  </si>
  <si>
    <t xml:space="preserve">C-1410</t>
  </si>
  <si>
    <t xml:space="preserve">C-1411</t>
  </si>
  <si>
    <t xml:space="preserve">C-1412</t>
  </si>
  <si>
    <t xml:space="preserve">C-1413</t>
  </si>
  <si>
    <t xml:space="preserve">C-1414</t>
  </si>
  <si>
    <t xml:space="preserve">C-1415</t>
  </si>
  <si>
    <t xml:space="preserve">C-1416</t>
  </si>
  <si>
    <t xml:space="preserve">C-1417</t>
  </si>
  <si>
    <t xml:space="preserve">C-1418</t>
  </si>
  <si>
    <t xml:space="preserve">C-1419</t>
  </si>
  <si>
    <t xml:space="preserve">C-1420</t>
  </si>
  <si>
    <t xml:space="preserve">C-1421</t>
  </si>
  <si>
    <t xml:space="preserve">C-1422</t>
  </si>
  <si>
    <t xml:space="preserve">C-1423</t>
  </si>
  <si>
    <t xml:space="preserve">C-1424</t>
  </si>
  <si>
    <t xml:space="preserve">C-1425</t>
  </si>
  <si>
    <t xml:space="preserve">C-1426</t>
  </si>
  <si>
    <t xml:space="preserve">C-1427</t>
  </si>
  <si>
    <t xml:space="preserve">C-1428</t>
  </si>
  <si>
    <t xml:space="preserve">C-1429</t>
  </si>
  <si>
    <t xml:space="preserve">C-1430</t>
  </si>
  <si>
    <t xml:space="preserve">C-1431</t>
  </si>
  <si>
    <t xml:space="preserve">C-1432</t>
  </si>
  <si>
    <t xml:space="preserve">C-1433</t>
  </si>
  <si>
    <t xml:space="preserve">C-1434</t>
  </si>
  <si>
    <t xml:space="preserve">C-1435</t>
  </si>
  <si>
    <t xml:space="preserve">C-1436</t>
  </si>
  <si>
    <t xml:space="preserve">C-1437</t>
  </si>
  <si>
    <t xml:space="preserve">C-1438</t>
  </si>
  <si>
    <t xml:space="preserve">C-1439</t>
  </si>
  <si>
    <t xml:space="preserve">C-1440</t>
  </si>
  <si>
    <t xml:space="preserve">C-1441</t>
  </si>
  <si>
    <t xml:space="preserve">C-1442</t>
  </si>
  <si>
    <t xml:space="preserve">C-1443</t>
  </si>
  <si>
    <t xml:space="preserve">C-1444</t>
  </si>
  <si>
    <t xml:space="preserve">C-1445</t>
  </si>
  <si>
    <t xml:space="preserve">C-1446</t>
  </si>
  <si>
    <t xml:space="preserve">C-1447</t>
  </si>
  <si>
    <t xml:space="preserve">C-1448</t>
  </si>
  <si>
    <t xml:space="preserve">C-1449</t>
  </si>
  <si>
    <t xml:space="preserve">C-1450</t>
  </si>
  <si>
    <t xml:space="preserve">C-1451</t>
  </si>
  <si>
    <t xml:space="preserve">C-1452</t>
  </si>
  <si>
    <t xml:space="preserve">C-1453</t>
  </si>
  <si>
    <t xml:space="preserve">C-1454</t>
  </si>
  <si>
    <t xml:space="preserve">C-1455</t>
  </si>
  <si>
    <t xml:space="preserve">C-1456</t>
  </si>
  <si>
    <t xml:space="preserve">C-1457</t>
  </si>
  <si>
    <t xml:space="preserve">C-1458</t>
  </si>
  <si>
    <t xml:space="preserve">C-1459</t>
  </si>
  <si>
    <t xml:space="preserve">C-1460</t>
  </si>
  <si>
    <t xml:space="preserve">C-1461</t>
  </si>
  <si>
    <t xml:space="preserve">C-1462</t>
  </si>
  <si>
    <t xml:space="preserve">C-1463</t>
  </si>
  <si>
    <t xml:space="preserve">C-1464</t>
  </si>
  <si>
    <t xml:space="preserve">C-1465</t>
  </si>
  <si>
    <t xml:space="preserve">C-1466</t>
  </si>
  <si>
    <t xml:space="preserve">C-1467</t>
  </si>
  <si>
    <t xml:space="preserve">C-1468</t>
  </si>
  <si>
    <t xml:space="preserve">C-1469</t>
  </si>
  <si>
    <t xml:space="preserve">C-1470</t>
  </si>
  <si>
    <t xml:space="preserve">C-1471</t>
  </si>
  <si>
    <t xml:space="preserve">C-1472</t>
  </si>
  <si>
    <t xml:space="preserve">C-1473</t>
  </si>
  <si>
    <t xml:space="preserve">C-1474</t>
  </si>
  <si>
    <t xml:space="preserve">C-1475</t>
  </si>
  <si>
    <t xml:space="preserve">C-1476</t>
  </si>
  <si>
    <t xml:space="preserve">C-1477</t>
  </si>
  <si>
    <t xml:space="preserve">C-1478</t>
  </si>
  <si>
    <t xml:space="preserve">C-1479</t>
  </si>
  <si>
    <t xml:space="preserve">C-1480</t>
  </si>
  <si>
    <t xml:space="preserve">C-1481</t>
  </si>
  <si>
    <t xml:space="preserve">C-1482</t>
  </si>
  <si>
    <t xml:space="preserve">C-1483</t>
  </si>
  <si>
    <t xml:space="preserve">C-1484</t>
  </si>
  <si>
    <t xml:space="preserve">C-1485</t>
  </si>
  <si>
    <t xml:space="preserve">C-1486</t>
  </si>
  <si>
    <t xml:space="preserve">C-1487</t>
  </si>
  <si>
    <t xml:space="preserve">C-1488</t>
  </si>
  <si>
    <t xml:space="preserve">C-1489</t>
  </si>
  <si>
    <t xml:space="preserve">C-1490</t>
  </si>
  <si>
    <t xml:space="preserve">C-1491</t>
  </si>
  <si>
    <t xml:space="preserve">C-1492</t>
  </si>
  <si>
    <t xml:space="preserve">C-1493</t>
  </si>
  <si>
    <t xml:space="preserve">C-1494</t>
  </si>
  <si>
    <t xml:space="preserve">C-1495</t>
  </si>
  <si>
    <t xml:space="preserve">C-1496</t>
  </si>
  <si>
    <t xml:space="preserve">C-1497</t>
  </si>
  <si>
    <t xml:space="preserve">C-1498</t>
  </si>
  <si>
    <t xml:space="preserve">C-1499</t>
  </si>
  <si>
    <t xml:space="preserve">C-1500</t>
  </si>
  <si>
    <t xml:space="preserve">C-1501</t>
  </si>
  <si>
    <t xml:space="preserve">C-1502</t>
  </si>
  <si>
    <t xml:space="preserve">C-1503</t>
  </si>
  <si>
    <t xml:space="preserve">C-1504</t>
  </si>
  <si>
    <t xml:space="preserve">C-1505</t>
  </si>
  <si>
    <t xml:space="preserve">C-1506</t>
  </si>
  <si>
    <t xml:space="preserve">C-1507</t>
  </si>
  <si>
    <t xml:space="preserve">C-1508</t>
  </si>
  <si>
    <t xml:space="preserve">C-1509</t>
  </si>
  <si>
    <t xml:space="preserve">C-1510</t>
  </si>
  <si>
    <t xml:space="preserve">C-1511</t>
  </si>
  <si>
    <t xml:space="preserve">C-1512</t>
  </si>
  <si>
    <t xml:space="preserve">C-1513</t>
  </si>
  <si>
    <t xml:space="preserve">C-1514</t>
  </si>
  <si>
    <t xml:space="preserve">C-1515</t>
  </si>
  <si>
    <t xml:space="preserve">C-1516</t>
  </si>
  <si>
    <t xml:space="preserve">C-1517</t>
  </si>
  <si>
    <t xml:space="preserve">C-1518</t>
  </si>
  <si>
    <t xml:space="preserve">C-1519</t>
  </si>
  <si>
    <t xml:space="preserve">C-1520</t>
  </si>
  <si>
    <t xml:space="preserve">C-1521</t>
  </si>
  <si>
    <t xml:space="preserve">C-1522</t>
  </si>
  <si>
    <t xml:space="preserve">C-1523</t>
  </si>
  <si>
    <t xml:space="preserve">C-1524</t>
  </si>
  <si>
    <t xml:space="preserve">C-1525</t>
  </si>
  <si>
    <t xml:space="preserve">C-1526</t>
  </si>
  <si>
    <t xml:space="preserve">C-1527</t>
  </si>
  <si>
    <t xml:space="preserve">C-1528</t>
  </si>
  <si>
    <t xml:space="preserve">C-1529</t>
  </si>
  <si>
    <t xml:space="preserve">C-1530</t>
  </si>
  <si>
    <t xml:space="preserve">C-1531</t>
  </si>
  <si>
    <t xml:space="preserve">C-1532</t>
  </si>
  <si>
    <t xml:space="preserve">C-1533</t>
  </si>
  <si>
    <t xml:space="preserve">C-1534</t>
  </si>
  <si>
    <t xml:space="preserve">C-1535</t>
  </si>
  <si>
    <t xml:space="preserve">C-1536</t>
  </si>
  <si>
    <t xml:space="preserve">C-1537</t>
  </si>
  <si>
    <t xml:space="preserve">C-1538</t>
  </si>
  <si>
    <t xml:space="preserve">C-1539</t>
  </si>
  <si>
    <t xml:space="preserve">C-1540</t>
  </si>
  <si>
    <t xml:space="preserve">C-1541</t>
  </si>
  <si>
    <t xml:space="preserve">C-1542</t>
  </si>
  <si>
    <t xml:space="preserve">C-1543</t>
  </si>
  <si>
    <t xml:space="preserve">C-1544</t>
  </si>
  <si>
    <t xml:space="preserve">C-1545</t>
  </si>
  <si>
    <t xml:space="preserve">C-1546</t>
  </si>
  <si>
    <t xml:space="preserve">C-1547</t>
  </si>
  <si>
    <t xml:space="preserve">C-1548</t>
  </si>
  <si>
    <t xml:space="preserve">C-1549</t>
  </si>
  <si>
    <t xml:space="preserve">C-1550</t>
  </si>
  <si>
    <t xml:space="preserve">C-1551</t>
  </si>
  <si>
    <t xml:space="preserve">C-1552</t>
  </si>
  <si>
    <t xml:space="preserve">C-1553</t>
  </si>
  <si>
    <t xml:space="preserve">C-1554</t>
  </si>
  <si>
    <t xml:space="preserve">C-1555</t>
  </si>
  <si>
    <t xml:space="preserve">C-1556</t>
  </si>
  <si>
    <t xml:space="preserve">C-1557</t>
  </si>
  <si>
    <t xml:space="preserve">C-1558</t>
  </si>
  <si>
    <t xml:space="preserve">C-1559</t>
  </si>
  <si>
    <t xml:space="preserve">C-1560</t>
  </si>
  <si>
    <t xml:space="preserve">C-1561</t>
  </si>
  <si>
    <t xml:space="preserve">C-1562</t>
  </si>
  <si>
    <t xml:space="preserve">C-1563</t>
  </si>
  <si>
    <t xml:space="preserve">C-1564</t>
  </si>
  <si>
    <t xml:space="preserve">C-1565</t>
  </si>
  <si>
    <t xml:space="preserve">C-1566</t>
  </si>
  <si>
    <t xml:space="preserve">C-1567</t>
  </si>
  <si>
    <t xml:space="preserve">C-1568</t>
  </si>
  <si>
    <t xml:space="preserve">C-1569</t>
  </si>
  <si>
    <t xml:space="preserve">C-1570</t>
  </si>
  <si>
    <t xml:space="preserve">C-1571</t>
  </si>
  <si>
    <t xml:space="preserve">C-1572</t>
  </si>
  <si>
    <t xml:space="preserve">C-1573</t>
  </si>
  <si>
    <t xml:space="preserve">C-1574</t>
  </si>
  <si>
    <t xml:space="preserve">C-1575</t>
  </si>
  <si>
    <t xml:space="preserve">C-1576</t>
  </si>
  <si>
    <t xml:space="preserve">C-1577</t>
  </si>
  <si>
    <t xml:space="preserve">C-1578</t>
  </si>
  <si>
    <t xml:space="preserve">C-1579</t>
  </si>
  <si>
    <t xml:space="preserve">C-1580</t>
  </si>
  <si>
    <t xml:space="preserve">C-1581</t>
  </si>
  <si>
    <t xml:space="preserve">C-1582</t>
  </si>
  <si>
    <t xml:space="preserve">C-1583</t>
  </si>
  <si>
    <t xml:space="preserve">C-1584</t>
  </si>
  <si>
    <t xml:space="preserve">C-1585</t>
  </si>
  <si>
    <t xml:space="preserve">C-1586</t>
  </si>
  <si>
    <t xml:space="preserve">C-1587</t>
  </si>
  <si>
    <t xml:space="preserve">C-1588</t>
  </si>
  <si>
    <t xml:space="preserve">C-1589</t>
  </si>
  <si>
    <t xml:space="preserve">C-1590</t>
  </si>
  <si>
    <t xml:space="preserve">C-1591</t>
  </si>
  <si>
    <t xml:space="preserve">C-1592</t>
  </si>
  <si>
    <t xml:space="preserve">C-1593</t>
  </si>
  <si>
    <t xml:space="preserve">C-1594</t>
  </si>
  <si>
    <t xml:space="preserve">C-1595</t>
  </si>
  <si>
    <t xml:space="preserve">C-1596</t>
  </si>
  <si>
    <t xml:space="preserve">C-1597</t>
  </si>
  <si>
    <t xml:space="preserve">C-1598</t>
  </si>
  <si>
    <t xml:space="preserve">C-1599</t>
  </si>
  <si>
    <t xml:space="preserve">C-1600</t>
  </si>
  <si>
    <t xml:space="preserve">C-1601</t>
  </si>
  <si>
    <t xml:space="preserve">C-1602</t>
  </si>
  <si>
    <t xml:space="preserve">C-1603</t>
  </si>
  <si>
    <t xml:space="preserve">C-1604</t>
  </si>
  <si>
    <t xml:space="preserve">C-1605</t>
  </si>
  <si>
    <t xml:space="preserve">C-1606</t>
  </si>
  <si>
    <t xml:space="preserve">C-1607</t>
  </si>
  <si>
    <t xml:space="preserve">C-1608</t>
  </si>
  <si>
    <t xml:space="preserve">C-1609</t>
  </si>
  <si>
    <t xml:space="preserve">C-1610</t>
  </si>
  <si>
    <t xml:space="preserve">C-1611</t>
  </si>
  <si>
    <t xml:space="preserve">C-1612</t>
  </si>
  <si>
    <t xml:space="preserve">C-1613</t>
  </si>
  <si>
    <t xml:space="preserve">C-1614</t>
  </si>
  <si>
    <t xml:space="preserve">C-1615</t>
  </si>
  <si>
    <t xml:space="preserve">C-1616</t>
  </si>
  <si>
    <t xml:space="preserve">C-1617</t>
  </si>
  <si>
    <t xml:space="preserve">C-1618</t>
  </si>
  <si>
    <t xml:space="preserve">C-1619</t>
  </si>
  <si>
    <t xml:space="preserve">C-1620</t>
  </si>
  <si>
    <t xml:space="preserve">C-1621</t>
  </si>
  <si>
    <t xml:space="preserve">C-1622</t>
  </si>
  <si>
    <t xml:space="preserve">C-1623</t>
  </si>
  <si>
    <t xml:space="preserve">C-1624</t>
  </si>
  <si>
    <t xml:space="preserve">C-1625</t>
  </si>
  <si>
    <t xml:space="preserve">C-1626</t>
  </si>
  <si>
    <t xml:space="preserve">C-1627</t>
  </si>
  <si>
    <t xml:space="preserve">C-1628</t>
  </si>
  <si>
    <t xml:space="preserve">C-1629</t>
  </si>
  <si>
    <t xml:space="preserve">C-1630</t>
  </si>
  <si>
    <t xml:space="preserve">C-1631</t>
  </si>
  <si>
    <t xml:space="preserve">C-1632</t>
  </si>
  <si>
    <t xml:space="preserve">C-1633</t>
  </si>
  <si>
    <t xml:space="preserve">C-1634</t>
  </si>
  <si>
    <t xml:space="preserve">C-1635</t>
  </si>
  <si>
    <t xml:space="preserve">C-1636</t>
  </si>
  <si>
    <t xml:space="preserve">C-1637</t>
  </si>
  <si>
    <t xml:space="preserve">C-1638</t>
  </si>
  <si>
    <t xml:space="preserve">C-1639</t>
  </si>
  <si>
    <t xml:space="preserve">C-1640</t>
  </si>
  <si>
    <t xml:space="preserve">C-1641</t>
  </si>
  <si>
    <t xml:space="preserve">C-1642</t>
  </si>
  <si>
    <t xml:space="preserve">C-1643</t>
  </si>
  <si>
    <t xml:space="preserve">C-1644</t>
  </si>
  <si>
    <t xml:space="preserve">C-1645</t>
  </si>
  <si>
    <t xml:space="preserve">C-1646</t>
  </si>
  <si>
    <t xml:space="preserve">C-1647</t>
  </si>
  <si>
    <t xml:space="preserve">C-1648</t>
  </si>
  <si>
    <t xml:space="preserve">C-1649</t>
  </si>
  <si>
    <t xml:space="preserve">C-1650</t>
  </si>
  <si>
    <t xml:space="preserve">C-1651</t>
  </si>
  <si>
    <t xml:space="preserve">C-1652</t>
  </si>
  <si>
    <t xml:space="preserve">C-1653</t>
  </si>
  <si>
    <t xml:space="preserve">C-1654</t>
  </si>
  <si>
    <t xml:space="preserve">C-1655</t>
  </si>
  <si>
    <t xml:space="preserve">C-1656</t>
  </si>
  <si>
    <t xml:space="preserve">C-1657</t>
  </si>
  <si>
    <t xml:space="preserve">C-1658</t>
  </si>
  <si>
    <t xml:space="preserve">C-1659</t>
  </si>
  <si>
    <t xml:space="preserve">C-1660</t>
  </si>
  <si>
    <t xml:space="preserve">C-1661</t>
  </si>
  <si>
    <t xml:space="preserve">C-1662</t>
  </si>
  <si>
    <t xml:space="preserve">C-1663</t>
  </si>
  <si>
    <t xml:space="preserve">C-1664</t>
  </si>
  <si>
    <t xml:space="preserve">C-1665</t>
  </si>
  <si>
    <t xml:space="preserve">C-1666</t>
  </si>
  <si>
    <t xml:space="preserve">C-1667</t>
  </si>
  <si>
    <t xml:space="preserve">C-1668</t>
  </si>
  <si>
    <t xml:space="preserve">C-1669</t>
  </si>
  <si>
    <t xml:space="preserve">C-1670</t>
  </si>
  <si>
    <t xml:space="preserve">C-1671</t>
  </si>
  <si>
    <t xml:space="preserve">C-1672</t>
  </si>
  <si>
    <t xml:space="preserve">C-1673</t>
  </si>
  <si>
    <t xml:space="preserve">C-1674</t>
  </si>
  <si>
    <t xml:space="preserve">C-1675</t>
  </si>
  <si>
    <t xml:space="preserve">C-1676</t>
  </si>
  <si>
    <t xml:space="preserve">C-1677</t>
  </si>
  <si>
    <t xml:space="preserve">C-1678</t>
  </si>
  <si>
    <t xml:space="preserve">C-1679</t>
  </si>
  <si>
    <t xml:space="preserve">C-1680</t>
  </si>
  <si>
    <t xml:space="preserve">C-1681</t>
  </si>
  <si>
    <t xml:space="preserve">C-1682</t>
  </si>
  <si>
    <t xml:space="preserve">C-1683</t>
  </si>
  <si>
    <t xml:space="preserve">C-1684</t>
  </si>
  <si>
    <t xml:space="preserve">C-1685</t>
  </si>
  <si>
    <t xml:space="preserve">C-1686</t>
  </si>
  <si>
    <t xml:space="preserve">C-1687</t>
  </si>
  <si>
    <t xml:space="preserve">C-1688</t>
  </si>
  <si>
    <t xml:space="preserve">C-1689</t>
  </si>
  <si>
    <t xml:space="preserve">C-1690</t>
  </si>
  <si>
    <t xml:space="preserve">C-1691</t>
  </si>
  <si>
    <t xml:space="preserve">C-1692</t>
  </si>
  <si>
    <t xml:space="preserve">C-1693</t>
  </si>
  <si>
    <t xml:space="preserve">C-1694</t>
  </si>
  <si>
    <t xml:space="preserve">C-1695</t>
  </si>
  <si>
    <t xml:space="preserve">C-1696</t>
  </si>
  <si>
    <t xml:space="preserve">C-1697</t>
  </si>
  <si>
    <t xml:space="preserve">C-1698</t>
  </si>
  <si>
    <t xml:space="preserve">C-1699</t>
  </si>
  <si>
    <t xml:space="preserve">C-1700</t>
  </si>
  <si>
    <t xml:space="preserve">C-1701</t>
  </si>
  <si>
    <t xml:space="preserve">C-1702</t>
  </si>
  <si>
    <t xml:space="preserve">C-1703</t>
  </si>
  <si>
    <t xml:space="preserve">C-1704</t>
  </si>
  <si>
    <t xml:space="preserve">C-1705</t>
  </si>
  <si>
    <t xml:space="preserve">C-1706</t>
  </si>
  <si>
    <t xml:space="preserve">C-1707</t>
  </si>
  <si>
    <t xml:space="preserve">C-1708</t>
  </si>
  <si>
    <t xml:space="preserve">C-1709</t>
  </si>
  <si>
    <t xml:space="preserve">C-1710</t>
  </si>
  <si>
    <t xml:space="preserve">C-1711</t>
  </si>
  <si>
    <t xml:space="preserve">C-1712</t>
  </si>
  <si>
    <t xml:space="preserve">C-1713</t>
  </si>
  <si>
    <t xml:space="preserve">C-1714</t>
  </si>
  <si>
    <t xml:space="preserve">C-1715</t>
  </si>
  <si>
    <t xml:space="preserve">C-1716</t>
  </si>
  <si>
    <t xml:space="preserve">C-1717</t>
  </si>
  <si>
    <t xml:space="preserve">C-1718</t>
  </si>
  <si>
    <t xml:space="preserve">C-1719</t>
  </si>
  <si>
    <t xml:space="preserve">C-1720</t>
  </si>
  <si>
    <t xml:space="preserve">C-1721</t>
  </si>
  <si>
    <t xml:space="preserve">C-1722</t>
  </si>
  <si>
    <t xml:space="preserve">C-1723</t>
  </si>
  <si>
    <t xml:space="preserve">C-1724</t>
  </si>
  <si>
    <t xml:space="preserve">C-1725</t>
  </si>
  <si>
    <t xml:space="preserve">C-1726</t>
  </si>
  <si>
    <t xml:space="preserve">C-1727</t>
  </si>
  <si>
    <t xml:space="preserve">C-1728</t>
  </si>
  <si>
    <t xml:space="preserve">C-1729</t>
  </si>
  <si>
    <t xml:space="preserve">C-1730</t>
  </si>
  <si>
    <t xml:space="preserve">C-1731</t>
  </si>
  <si>
    <t xml:space="preserve">C-1732</t>
  </si>
  <si>
    <t xml:space="preserve">C-1733</t>
  </si>
  <si>
    <t xml:space="preserve">C-1734</t>
  </si>
  <si>
    <t xml:space="preserve">C-1735</t>
  </si>
  <si>
    <t xml:space="preserve">C-1736</t>
  </si>
  <si>
    <t xml:space="preserve">C-1737</t>
  </si>
  <si>
    <t xml:space="preserve">C-1738</t>
  </si>
  <si>
    <t xml:space="preserve">C-1739</t>
  </si>
  <si>
    <t xml:space="preserve">C-1740</t>
  </si>
  <si>
    <t xml:space="preserve">C-1741</t>
  </si>
  <si>
    <t xml:space="preserve">C-1742</t>
  </si>
  <si>
    <t xml:space="preserve">C-1743</t>
  </si>
  <si>
    <t xml:space="preserve">C-1744</t>
  </si>
  <si>
    <t xml:space="preserve">C-1745</t>
  </si>
  <si>
    <t xml:space="preserve">C-1746</t>
  </si>
  <si>
    <t xml:space="preserve">C-1747</t>
  </si>
  <si>
    <t xml:space="preserve">C-1748</t>
  </si>
  <si>
    <t xml:space="preserve">C-1749</t>
  </si>
  <si>
    <t xml:space="preserve">C-1750</t>
  </si>
  <si>
    <t xml:space="preserve">C-1751</t>
  </si>
  <si>
    <t xml:space="preserve">C-1752</t>
  </si>
  <si>
    <t xml:space="preserve">C-1753</t>
  </si>
  <si>
    <t xml:space="preserve">C-1754</t>
  </si>
  <si>
    <t xml:space="preserve">C-1755</t>
  </si>
  <si>
    <t xml:space="preserve">C-1756</t>
  </si>
  <si>
    <t xml:space="preserve">C-1757</t>
  </si>
  <si>
    <t xml:space="preserve">C-1758</t>
  </si>
  <si>
    <t xml:space="preserve">C-1759</t>
  </si>
  <si>
    <t xml:space="preserve">C-1760</t>
  </si>
  <si>
    <t xml:space="preserve">C-1761</t>
  </si>
  <si>
    <t xml:space="preserve">C-1762</t>
  </si>
  <si>
    <t xml:space="preserve">C-1763</t>
  </si>
  <si>
    <t xml:space="preserve">C-1764</t>
  </si>
  <si>
    <t xml:space="preserve">C-1765</t>
  </si>
  <si>
    <t xml:space="preserve">C-1766</t>
  </si>
  <si>
    <t xml:space="preserve">C-1767</t>
  </si>
  <si>
    <t xml:space="preserve">C-1768</t>
  </si>
  <si>
    <t xml:space="preserve">C-1769</t>
  </si>
  <si>
    <t xml:space="preserve">C-1770</t>
  </si>
  <si>
    <t xml:space="preserve">C-1771</t>
  </si>
  <si>
    <t xml:space="preserve">C-1772</t>
  </si>
  <si>
    <t xml:space="preserve">C-1773</t>
  </si>
  <si>
    <t xml:space="preserve">C-1774</t>
  </si>
  <si>
    <t xml:space="preserve">C-1775</t>
  </si>
  <si>
    <t xml:space="preserve">C-1776</t>
  </si>
  <si>
    <t xml:space="preserve">C-1777</t>
  </si>
  <si>
    <t xml:space="preserve">C-1778</t>
  </si>
  <si>
    <t xml:space="preserve">C-1779</t>
  </si>
  <si>
    <t xml:space="preserve">C-1780</t>
  </si>
  <si>
    <t xml:space="preserve">C-1781</t>
  </si>
  <si>
    <t xml:space="preserve">C-1782</t>
  </si>
  <si>
    <t xml:space="preserve">C-1783</t>
  </si>
  <si>
    <t xml:space="preserve">C-1784</t>
  </si>
  <si>
    <t xml:space="preserve">C-1785</t>
  </si>
  <si>
    <t xml:space="preserve">C-1786</t>
  </si>
  <si>
    <t xml:space="preserve">C-1787</t>
  </si>
  <si>
    <t xml:space="preserve">C-1788</t>
  </si>
  <si>
    <t xml:space="preserve">C-1789</t>
  </si>
  <si>
    <t xml:space="preserve">C-1790</t>
  </si>
  <si>
    <t xml:space="preserve">C-1791</t>
  </si>
  <si>
    <t xml:space="preserve">C-1792</t>
  </si>
  <si>
    <t xml:space="preserve">C-1793</t>
  </si>
  <si>
    <t xml:space="preserve">C-1794</t>
  </si>
  <si>
    <t xml:space="preserve">C-1795</t>
  </si>
  <si>
    <t xml:space="preserve">C-1796</t>
  </si>
  <si>
    <t xml:space="preserve">C-1797</t>
  </si>
  <si>
    <t xml:space="preserve">C-1798</t>
  </si>
  <si>
    <t xml:space="preserve">C-1799</t>
  </si>
  <si>
    <t xml:space="preserve">C-1800</t>
  </si>
  <si>
    <t xml:space="preserve">C-1801</t>
  </si>
  <si>
    <t xml:space="preserve">C-1802</t>
  </si>
  <si>
    <t xml:space="preserve">C-1803</t>
  </si>
  <si>
    <t xml:space="preserve">C-1804</t>
  </si>
  <si>
    <t xml:space="preserve">C-1805</t>
  </si>
  <si>
    <t xml:space="preserve">C-1806</t>
  </si>
  <si>
    <t xml:space="preserve">C-1807</t>
  </si>
  <si>
    <t xml:space="preserve">C-1808</t>
  </si>
  <si>
    <t xml:space="preserve">C-1809</t>
  </si>
  <si>
    <t xml:space="preserve">C-1810</t>
  </si>
  <si>
    <t xml:space="preserve">C-1811</t>
  </si>
  <si>
    <t xml:space="preserve">C-1812</t>
  </si>
  <si>
    <t xml:space="preserve">C-1813</t>
  </si>
  <si>
    <t xml:space="preserve">C-1814</t>
  </si>
  <si>
    <t xml:space="preserve">C-1815</t>
  </si>
  <si>
    <t xml:space="preserve">C-1816</t>
  </si>
  <si>
    <t xml:space="preserve">C-1817</t>
  </si>
  <si>
    <t xml:space="preserve">C-1818</t>
  </si>
  <si>
    <t xml:space="preserve">C-1819</t>
  </si>
  <si>
    <t xml:space="preserve">C-1820</t>
  </si>
  <si>
    <t xml:space="preserve">C-1821</t>
  </si>
  <si>
    <t xml:space="preserve">C-1822</t>
  </si>
  <si>
    <t xml:space="preserve">C-1823</t>
  </si>
  <si>
    <t xml:space="preserve">C-1824</t>
  </si>
  <si>
    <t xml:space="preserve">C-1825</t>
  </si>
  <si>
    <t xml:space="preserve">C-1826</t>
  </si>
  <si>
    <t xml:space="preserve">C-1827</t>
  </si>
  <si>
    <t xml:space="preserve">C-1828</t>
  </si>
  <si>
    <t xml:space="preserve">C-1829</t>
  </si>
  <si>
    <t xml:space="preserve">C-1830</t>
  </si>
  <si>
    <t xml:space="preserve">C-1831</t>
  </si>
  <si>
    <t xml:space="preserve">C-1832</t>
  </si>
  <si>
    <t xml:space="preserve">C-1833</t>
  </si>
  <si>
    <t xml:space="preserve">C-1834</t>
  </si>
  <si>
    <t xml:space="preserve">C-1835</t>
  </si>
  <si>
    <t xml:space="preserve">C-1836</t>
  </si>
  <si>
    <t xml:space="preserve">C-1837</t>
  </si>
  <si>
    <t xml:space="preserve">C-1838</t>
  </si>
  <si>
    <t xml:space="preserve">C-1839</t>
  </si>
  <si>
    <t xml:space="preserve">C-1840</t>
  </si>
  <si>
    <t xml:space="preserve">C-1841</t>
  </si>
  <si>
    <t xml:space="preserve">C-1842</t>
  </si>
  <si>
    <t xml:space="preserve">C-1843</t>
  </si>
  <si>
    <t xml:space="preserve">C-1844</t>
  </si>
  <si>
    <t xml:space="preserve">C-1845</t>
  </si>
  <si>
    <t xml:space="preserve">C-1846</t>
  </si>
  <si>
    <t xml:space="preserve">C-1847</t>
  </si>
  <si>
    <t xml:space="preserve">C-1848</t>
  </si>
  <si>
    <t xml:space="preserve">C-1849</t>
  </si>
  <si>
    <t xml:space="preserve">C-1850</t>
  </si>
  <si>
    <t xml:space="preserve">C-1851</t>
  </si>
  <si>
    <t xml:space="preserve">C-1852</t>
  </si>
  <si>
    <t xml:space="preserve">C-1853</t>
  </si>
  <si>
    <t xml:space="preserve">C-1854</t>
  </si>
  <si>
    <t xml:space="preserve">C-1855</t>
  </si>
  <si>
    <t xml:space="preserve">C-1856</t>
  </si>
  <si>
    <t xml:space="preserve">C-1857</t>
  </si>
  <si>
    <t xml:space="preserve">C-1858</t>
  </si>
  <si>
    <t xml:space="preserve">C-1859</t>
  </si>
  <si>
    <t xml:space="preserve">C-1860</t>
  </si>
  <si>
    <t xml:space="preserve">C-1861</t>
  </si>
  <si>
    <t xml:space="preserve">C-1862</t>
  </si>
  <si>
    <t xml:space="preserve">C-1863</t>
  </si>
  <si>
    <t xml:space="preserve">C-1864</t>
  </si>
  <si>
    <t xml:space="preserve">C-1865</t>
  </si>
  <si>
    <t xml:space="preserve">C-1866</t>
  </si>
  <si>
    <t xml:space="preserve">C-1867</t>
  </si>
  <si>
    <t xml:space="preserve">C-1868</t>
  </si>
  <si>
    <t xml:space="preserve">C-1869</t>
  </si>
  <si>
    <t xml:space="preserve">C-1870</t>
  </si>
  <si>
    <t xml:space="preserve">C-1871</t>
  </si>
  <si>
    <t xml:space="preserve">C-1872</t>
  </si>
  <si>
    <t xml:space="preserve">C-1873</t>
  </si>
  <si>
    <t xml:space="preserve">C-1874</t>
  </si>
  <si>
    <t xml:space="preserve">C-1875</t>
  </si>
  <si>
    <t xml:space="preserve">C-1876</t>
  </si>
  <si>
    <t xml:space="preserve">C-1877</t>
  </si>
  <si>
    <t xml:space="preserve">C-1878</t>
  </si>
  <si>
    <t xml:space="preserve">C-1879</t>
  </si>
  <si>
    <t xml:space="preserve">C-1880</t>
  </si>
  <si>
    <t xml:space="preserve">C-1881</t>
  </si>
  <si>
    <t xml:space="preserve">C-1882</t>
  </si>
  <si>
    <t xml:space="preserve">C-1883</t>
  </si>
  <si>
    <t xml:space="preserve">C-1884</t>
  </si>
  <si>
    <t xml:space="preserve">C-1885</t>
  </si>
  <si>
    <t xml:space="preserve">C-1886</t>
  </si>
  <si>
    <t xml:space="preserve">C-1887</t>
  </si>
  <si>
    <t xml:space="preserve">C-1888</t>
  </si>
  <si>
    <t xml:space="preserve">C-1889</t>
  </si>
  <si>
    <t xml:space="preserve">C-1890</t>
  </si>
  <si>
    <t xml:space="preserve">C-1891</t>
  </si>
  <si>
    <t xml:space="preserve">C-1892</t>
  </si>
  <si>
    <t xml:space="preserve">C-1893</t>
  </si>
  <si>
    <t xml:space="preserve">C-1894</t>
  </si>
  <si>
    <t xml:space="preserve">C-1895</t>
  </si>
  <si>
    <t xml:space="preserve">C-1896</t>
  </si>
  <si>
    <t xml:space="preserve">C-1897</t>
  </si>
  <si>
    <t xml:space="preserve">C-1898</t>
  </si>
  <si>
    <t xml:space="preserve">C-1899</t>
  </si>
  <si>
    <t xml:space="preserve">C-1900</t>
  </si>
  <si>
    <t xml:space="preserve">C-1901</t>
  </si>
  <si>
    <t xml:space="preserve">C-1902</t>
  </si>
  <si>
    <t xml:space="preserve">C-1903</t>
  </si>
  <si>
    <t xml:space="preserve">C-1904</t>
  </si>
  <si>
    <t xml:space="preserve">C-1905</t>
  </si>
  <si>
    <t xml:space="preserve">C-1906</t>
  </si>
  <si>
    <t xml:space="preserve">C-1907</t>
  </si>
  <si>
    <t xml:space="preserve">C-1908</t>
  </si>
  <si>
    <t xml:space="preserve">C-1909</t>
  </si>
  <si>
    <t xml:space="preserve">C-1910</t>
  </si>
  <si>
    <t xml:space="preserve">C-1911</t>
  </si>
  <si>
    <t xml:space="preserve">C-1912</t>
  </si>
  <si>
    <t xml:space="preserve">C-1913</t>
  </si>
  <si>
    <t xml:space="preserve">C-1914</t>
  </si>
  <si>
    <t xml:space="preserve">C-1915</t>
  </si>
  <si>
    <t xml:space="preserve">C-1916</t>
  </si>
  <si>
    <t xml:space="preserve">C-1917</t>
  </si>
  <si>
    <t xml:space="preserve">C-1918</t>
  </si>
  <si>
    <t xml:space="preserve">C-1919</t>
  </si>
  <si>
    <t xml:space="preserve">C-1920</t>
  </si>
  <si>
    <t xml:space="preserve">C-1921</t>
  </si>
  <si>
    <t xml:space="preserve">C-1922</t>
  </si>
  <si>
    <t xml:space="preserve">C-1923</t>
  </si>
  <si>
    <t xml:space="preserve">C-1924</t>
  </si>
  <si>
    <t xml:space="preserve">C-1925</t>
  </si>
  <si>
    <t xml:space="preserve">C-1926</t>
  </si>
  <si>
    <t xml:space="preserve">C-1927</t>
  </si>
  <si>
    <t xml:space="preserve">C-1928</t>
  </si>
  <si>
    <t xml:space="preserve">C-1929</t>
  </si>
  <si>
    <t xml:space="preserve">C-1930</t>
  </si>
  <si>
    <t xml:space="preserve">C-1931</t>
  </si>
  <si>
    <t xml:space="preserve">C-1932</t>
  </si>
  <si>
    <t xml:space="preserve">C-1933</t>
  </si>
  <si>
    <t xml:space="preserve">C-1934</t>
  </si>
  <si>
    <t xml:space="preserve">C-1935</t>
  </si>
  <si>
    <t xml:space="preserve">C-1936</t>
  </si>
  <si>
    <t xml:space="preserve">C-1937</t>
  </si>
  <si>
    <t xml:space="preserve">C-1938</t>
  </si>
  <si>
    <t xml:space="preserve">C-1939</t>
  </si>
  <si>
    <t xml:space="preserve">C-1940</t>
  </si>
  <si>
    <t xml:space="preserve">C-1941</t>
  </si>
  <si>
    <t xml:space="preserve">C-1942</t>
  </si>
  <si>
    <t xml:space="preserve">C-1943</t>
  </si>
  <si>
    <t xml:space="preserve">C-1944</t>
  </si>
  <si>
    <t xml:space="preserve">C-1945</t>
  </si>
  <si>
    <t xml:space="preserve">C-1946</t>
  </si>
  <si>
    <t xml:space="preserve">C-1947</t>
  </si>
  <si>
    <t xml:space="preserve">C-1948</t>
  </si>
  <si>
    <t xml:space="preserve">C-1949</t>
  </si>
  <si>
    <t xml:space="preserve">C-1950</t>
  </si>
  <si>
    <t xml:space="preserve">C-1951</t>
  </si>
  <si>
    <t xml:space="preserve">C-1952</t>
  </si>
  <si>
    <t xml:space="preserve">C-1953</t>
  </si>
  <si>
    <t xml:space="preserve">C-1954</t>
  </si>
  <si>
    <t xml:space="preserve">C-1955</t>
  </si>
  <si>
    <t xml:space="preserve">C-1956</t>
  </si>
  <si>
    <t xml:space="preserve">C-1957</t>
  </si>
  <si>
    <t xml:space="preserve">C-1958</t>
  </si>
  <si>
    <t xml:space="preserve">C-1959</t>
  </si>
  <si>
    <t xml:space="preserve">C-1960</t>
  </si>
  <si>
    <t xml:space="preserve">C-1961</t>
  </si>
  <si>
    <t xml:space="preserve">C-1962</t>
  </si>
  <si>
    <t xml:space="preserve">C-1963</t>
  </si>
  <si>
    <t xml:space="preserve">C-1964</t>
  </si>
  <si>
    <t xml:space="preserve">C-1965</t>
  </si>
  <si>
    <t xml:space="preserve">C-1966</t>
  </si>
  <si>
    <t xml:space="preserve">C-1967</t>
  </si>
  <si>
    <t xml:space="preserve">C-1968</t>
  </si>
  <si>
    <t xml:space="preserve">C-1969</t>
  </si>
  <si>
    <t xml:space="preserve">C-1970</t>
  </si>
  <si>
    <t xml:space="preserve">C-1971</t>
  </si>
  <si>
    <t xml:space="preserve">C-1972</t>
  </si>
  <si>
    <t xml:space="preserve">C-1973</t>
  </si>
  <si>
    <t xml:space="preserve">C-1974</t>
  </si>
  <si>
    <t xml:space="preserve">C-1975</t>
  </si>
  <si>
    <t xml:space="preserve">C-1976</t>
  </si>
  <si>
    <t xml:space="preserve">C-1977</t>
  </si>
  <si>
    <t xml:space="preserve">C-1978</t>
  </si>
  <si>
    <t xml:space="preserve">C-1979</t>
  </si>
  <si>
    <t xml:space="preserve">C-1980</t>
  </si>
  <si>
    <t xml:space="preserve">C-1981</t>
  </si>
  <si>
    <t xml:space="preserve">C-1982</t>
  </si>
  <si>
    <t xml:space="preserve">C-1983</t>
  </si>
  <si>
    <t xml:space="preserve">C-1984</t>
  </si>
  <si>
    <t xml:space="preserve">C-1985</t>
  </si>
  <si>
    <t xml:space="preserve">C-1986</t>
  </si>
  <si>
    <t xml:space="preserve">C-1987</t>
  </si>
  <si>
    <t xml:space="preserve">C-1988</t>
  </si>
  <si>
    <t xml:space="preserve">C-1989</t>
  </si>
  <si>
    <t xml:space="preserve">C-1990</t>
  </si>
  <si>
    <t xml:space="preserve">C-1991</t>
  </si>
  <si>
    <t xml:space="preserve">C-1992</t>
  </si>
  <si>
    <t xml:space="preserve">C-1993</t>
  </si>
  <si>
    <t xml:space="preserve">C-1994</t>
  </si>
  <si>
    <t xml:space="preserve">C-1995</t>
  </si>
  <si>
    <t xml:space="preserve">C-1996</t>
  </si>
  <si>
    <t xml:space="preserve">C-1997</t>
  </si>
  <si>
    <t xml:space="preserve">C-1998</t>
  </si>
  <si>
    <t xml:space="preserve">C-1999</t>
  </si>
  <si>
    <t xml:space="preserve">C-2000</t>
  </si>
  <si>
    <t xml:space="preserve">version_id</t>
  </si>
  <si>
    <t xml:space="preserve">version_no</t>
  </si>
  <si>
    <t xml:space="preserve">version_date</t>
  </si>
  <si>
    <t xml:space="preserve">purpose</t>
  </si>
  <si>
    <t xml:space="preserve">home</t>
  </si>
  <si>
    <t xml:space="preserve">link</t>
  </si>
  <si>
    <t xml:space="preserve">frozen</t>
  </si>
  <si>
    <t xml:space="preserve">what_changed</t>
  </si>
  <si>
    <t xml:space="preserve">edits_in</t>
  </si>
  <si>
    <t xml:space="preserve">related_checked</t>
  </si>
  <si>
    <t xml:space="preserve">dates_checked</t>
  </si>
  <si>
    <t xml:space="preserve">official</t>
  </si>
  <si>
    <t xml:space="preserve">packet_check</t>
  </si>
  <si>
    <t xml:space="preserve">in_shared_space</t>
  </si>
  <si>
    <t xml:space="preserve">V-001</t>
  </si>
  <si>
    <t xml:space="preserve">Posted: action packet</t>
  </si>
  <si>
    <t xml:space="preserve">Simbli</t>
  </si>
  <si>
    <t xml:space="preserve">Open</t>
  </si>
  <si>
    <t xml:space="preserve">Yes</t>
  </si>
  <si>
    <t xml:space="preserve">As posted in Simbli for the board meeting.</t>
  </si>
  <si>
    <t xml:space="preserve">Simbli link; packet checks illustrative</t>
  </si>
  <si>
    <t xml:space="preserve">V-002</t>
  </si>
  <si>
    <t xml:space="preserve">Working draft for Oct 28 committee</t>
  </si>
  <si>
    <t xml:space="preserve">Shared folder</t>
  </si>
  <si>
    <t xml:space="preserve">No</t>
  </si>
  <si>
    <t xml:space="preserve">Title and placement, implementation plan, draft regulation attached (Oct 5 board requests).</t>
  </si>
  <si>
    <t xml:space="preserve">Illustrative: how the next version is tracked</t>
  </si>
  <si>
    <t xml:space="preserve">V-003</t>
  </si>
  <si>
    <t xml:space="preserve">V-004</t>
  </si>
  <si>
    <t xml:space="preserve">Revisited with BA; combination question for the committee.</t>
  </si>
  <si>
    <t xml:space="preserve">V-005</t>
  </si>
  <si>
    <t xml:space="preserve">Posted: second reading</t>
  </si>
  <si>
    <t xml:space="preserve">V-006</t>
  </si>
  <si>
    <t xml:space="preserve">Oct 1 edits: Foundation sentence and 501(c)(3), scope moved up, sections regrouped, procedures sentence clarified, wording for school-level fundraising.</t>
  </si>
  <si>
    <t xml:space="preserve">V-007</t>
  </si>
  <si>
    <t xml:space="preserve">Posted: first reading</t>
  </si>
  <si>
    <t xml:space="preserve">V-008</t>
  </si>
  <si>
    <t xml:space="preserve">V-009</t>
  </si>
  <si>
    <t xml:space="preserve">Staff workshop edits, reviewed with IFBG.</t>
  </si>
  <si>
    <t xml:space="preserve">V-010</t>
  </si>
  <si>
    <t xml:space="preserve">V-011</t>
  </si>
  <si>
    <t xml:space="preserve">Staff workshop edits, reviewed with IFBI; cross-reference to IFBI.</t>
  </si>
  <si>
    <t xml:space="preserve">V-012</t>
  </si>
  <si>
    <t xml:space="preserve">V-013</t>
  </si>
  <si>
    <t xml:space="preserve">V-014</t>
  </si>
  <si>
    <t xml:space="preserve">V-015</t>
  </si>
  <si>
    <t xml:space="preserve">V-016</t>
  </si>
  <si>
    <t xml:space="preserve">V-017</t>
  </si>
  <si>
    <t xml:space="preserve">V-018</t>
  </si>
  <si>
    <t xml:space="preserve">V-019</t>
  </si>
  <si>
    <t xml:space="preserve">V-020</t>
  </si>
  <si>
    <t xml:space="preserve">V-021</t>
  </si>
  <si>
    <t xml:space="preserve">V-022</t>
  </si>
  <si>
    <t xml:space="preserve">V-023</t>
  </si>
  <si>
    <t xml:space="preserve">V-024</t>
  </si>
  <si>
    <t xml:space="preserve">V-025</t>
  </si>
  <si>
    <t xml:space="preserve">V-026</t>
  </si>
  <si>
    <t xml:space="preserve">V-027</t>
  </si>
  <si>
    <t xml:space="preserve">V-028</t>
  </si>
  <si>
    <t xml:space="preserve">V-029</t>
  </si>
  <si>
    <t xml:space="preserve">V-030</t>
  </si>
  <si>
    <t xml:space="preserve">V-031</t>
  </si>
  <si>
    <t xml:space="preserve">V-032</t>
  </si>
  <si>
    <t xml:space="preserve">V-033</t>
  </si>
  <si>
    <t xml:space="preserve">V-034</t>
  </si>
  <si>
    <t xml:space="preserve">V-035</t>
  </si>
  <si>
    <t xml:space="preserve">V-036</t>
  </si>
  <si>
    <t xml:space="preserve">V-037</t>
  </si>
  <si>
    <t xml:space="preserve">V-038</t>
  </si>
  <si>
    <t xml:space="preserve">V-039</t>
  </si>
  <si>
    <t xml:space="preserve">V-040</t>
  </si>
  <si>
    <t xml:space="preserve">V-041</t>
  </si>
  <si>
    <t xml:space="preserve">V-042</t>
  </si>
  <si>
    <t xml:space="preserve">V-043</t>
  </si>
  <si>
    <t xml:space="preserve">V-044</t>
  </si>
  <si>
    <t xml:space="preserve">V-045</t>
  </si>
  <si>
    <t xml:space="preserve">V-046</t>
  </si>
  <si>
    <t xml:space="preserve">V-047</t>
  </si>
  <si>
    <t xml:space="preserve">V-048</t>
  </si>
  <si>
    <t xml:space="preserve">V-049</t>
  </si>
  <si>
    <t xml:space="preserve">V-050</t>
  </si>
  <si>
    <t xml:space="preserve">V-051</t>
  </si>
  <si>
    <t xml:space="preserve">V-052</t>
  </si>
  <si>
    <t xml:space="preserve">V-053</t>
  </si>
  <si>
    <t xml:space="preserve">V-054</t>
  </si>
  <si>
    <t xml:space="preserve">V-055</t>
  </si>
  <si>
    <t xml:space="preserve">V-056</t>
  </si>
  <si>
    <t xml:space="preserve">V-057</t>
  </si>
  <si>
    <t xml:space="preserve">V-058</t>
  </si>
  <si>
    <t xml:space="preserve">V-059</t>
  </si>
  <si>
    <t xml:space="preserve">V-060</t>
  </si>
  <si>
    <t xml:space="preserve">V-061</t>
  </si>
  <si>
    <t xml:space="preserve">V-062</t>
  </si>
  <si>
    <t xml:space="preserve">V-063</t>
  </si>
  <si>
    <t xml:space="preserve">V-064</t>
  </si>
  <si>
    <t xml:space="preserve">V-065</t>
  </si>
  <si>
    <t xml:space="preserve">V-066</t>
  </si>
  <si>
    <t xml:space="preserve">V-067</t>
  </si>
  <si>
    <t xml:space="preserve">V-068</t>
  </si>
  <si>
    <t xml:space="preserve">V-069</t>
  </si>
  <si>
    <t xml:space="preserve">V-070</t>
  </si>
  <si>
    <t xml:space="preserve">V-071</t>
  </si>
  <si>
    <t xml:space="preserve">V-072</t>
  </si>
  <si>
    <t xml:space="preserve">V-073</t>
  </si>
  <si>
    <t xml:space="preserve">V-074</t>
  </si>
  <si>
    <t xml:space="preserve">V-075</t>
  </si>
  <si>
    <t xml:space="preserve">V-076</t>
  </si>
  <si>
    <t xml:space="preserve">V-077</t>
  </si>
  <si>
    <t xml:space="preserve">V-078</t>
  </si>
  <si>
    <t xml:space="preserve">V-079</t>
  </si>
  <si>
    <t xml:space="preserve">V-080</t>
  </si>
  <si>
    <t xml:space="preserve">V-081</t>
  </si>
  <si>
    <t xml:space="preserve">V-082</t>
  </si>
  <si>
    <t xml:space="preserve">V-083</t>
  </si>
  <si>
    <t xml:space="preserve">V-084</t>
  </si>
  <si>
    <t xml:space="preserve">V-085</t>
  </si>
  <si>
    <t xml:space="preserve">V-086</t>
  </si>
  <si>
    <t xml:space="preserve">V-087</t>
  </si>
  <si>
    <t xml:space="preserve">V-088</t>
  </si>
  <si>
    <t xml:space="preserve">V-089</t>
  </si>
  <si>
    <t xml:space="preserve">V-090</t>
  </si>
  <si>
    <t xml:space="preserve">V-091</t>
  </si>
  <si>
    <t xml:space="preserve">V-092</t>
  </si>
  <si>
    <t xml:space="preserve">V-093</t>
  </si>
  <si>
    <t xml:space="preserve">V-094</t>
  </si>
  <si>
    <t xml:space="preserve">V-095</t>
  </si>
  <si>
    <t xml:space="preserve">V-096</t>
  </si>
  <si>
    <t xml:space="preserve">V-097</t>
  </si>
  <si>
    <t xml:space="preserve">V-098</t>
  </si>
  <si>
    <t xml:space="preserve">V-099</t>
  </si>
  <si>
    <t xml:space="preserve">V-100</t>
  </si>
  <si>
    <t xml:space="preserve">V-101</t>
  </si>
  <si>
    <t xml:space="preserve">V-102</t>
  </si>
  <si>
    <t xml:space="preserve">V-103</t>
  </si>
  <si>
    <t xml:space="preserve">V-104</t>
  </si>
  <si>
    <t xml:space="preserve">V-105</t>
  </si>
  <si>
    <t xml:space="preserve">V-106</t>
  </si>
  <si>
    <t xml:space="preserve">V-107</t>
  </si>
  <si>
    <t xml:space="preserve">V-108</t>
  </si>
  <si>
    <t xml:space="preserve">V-109</t>
  </si>
  <si>
    <t xml:space="preserve">V-110</t>
  </si>
  <si>
    <t xml:space="preserve">V-111</t>
  </si>
  <si>
    <t xml:space="preserve">V-112</t>
  </si>
  <si>
    <t xml:space="preserve">V-113</t>
  </si>
  <si>
    <t xml:space="preserve">V-114</t>
  </si>
  <si>
    <t xml:space="preserve">V-115</t>
  </si>
  <si>
    <t xml:space="preserve">V-116</t>
  </si>
  <si>
    <t xml:space="preserve">V-117</t>
  </si>
  <si>
    <t xml:space="preserve">V-118</t>
  </si>
  <si>
    <t xml:space="preserve">V-119</t>
  </si>
  <si>
    <t xml:space="preserve">V-120</t>
  </si>
  <si>
    <t xml:space="preserve">V-121</t>
  </si>
  <si>
    <t xml:space="preserve">V-122</t>
  </si>
  <si>
    <t xml:space="preserve">V-123</t>
  </si>
  <si>
    <t xml:space="preserve">V-124</t>
  </si>
  <si>
    <t xml:space="preserve">V-125</t>
  </si>
  <si>
    <t xml:space="preserve">V-126</t>
  </si>
  <si>
    <t xml:space="preserve">V-127</t>
  </si>
  <si>
    <t xml:space="preserve">V-128</t>
  </si>
  <si>
    <t xml:space="preserve">V-129</t>
  </si>
  <si>
    <t xml:space="preserve">V-130</t>
  </si>
  <si>
    <t xml:space="preserve">V-131</t>
  </si>
  <si>
    <t xml:space="preserve">V-132</t>
  </si>
  <si>
    <t xml:space="preserve">V-133</t>
  </si>
  <si>
    <t xml:space="preserve">V-134</t>
  </si>
  <si>
    <t xml:space="preserve">V-135</t>
  </si>
  <si>
    <t xml:space="preserve">V-136</t>
  </si>
  <si>
    <t xml:space="preserve">V-137</t>
  </si>
  <si>
    <t xml:space="preserve">V-138</t>
  </si>
  <si>
    <t xml:space="preserve">V-139</t>
  </si>
  <si>
    <t xml:space="preserve">V-140</t>
  </si>
  <si>
    <t xml:space="preserve">V-141</t>
  </si>
  <si>
    <t xml:space="preserve">V-142</t>
  </si>
  <si>
    <t xml:space="preserve">V-143</t>
  </si>
  <si>
    <t xml:space="preserve">V-144</t>
  </si>
  <si>
    <t xml:space="preserve">V-145</t>
  </si>
  <si>
    <t xml:space="preserve">V-146</t>
  </si>
  <si>
    <t xml:space="preserve">V-147</t>
  </si>
  <si>
    <t xml:space="preserve">V-148</t>
  </si>
  <si>
    <t xml:space="preserve">V-149</t>
  </si>
  <si>
    <t xml:space="preserve">V-150</t>
  </si>
  <si>
    <t xml:space="preserve">V-151</t>
  </si>
  <si>
    <t xml:space="preserve">V-152</t>
  </si>
  <si>
    <t xml:space="preserve">V-153</t>
  </si>
  <si>
    <t xml:space="preserve">V-154</t>
  </si>
  <si>
    <t xml:space="preserve">V-155</t>
  </si>
  <si>
    <t xml:space="preserve">V-156</t>
  </si>
  <si>
    <t xml:space="preserve">V-157</t>
  </si>
  <si>
    <t xml:space="preserve">V-158</t>
  </si>
  <si>
    <t xml:space="preserve">V-159</t>
  </si>
  <si>
    <t xml:space="preserve">V-160</t>
  </si>
  <si>
    <t xml:space="preserve">V-161</t>
  </si>
  <si>
    <t xml:space="preserve">V-162</t>
  </si>
  <si>
    <t xml:space="preserve">V-163</t>
  </si>
  <si>
    <t xml:space="preserve">V-164</t>
  </si>
  <si>
    <t xml:space="preserve">V-165</t>
  </si>
  <si>
    <t xml:space="preserve">V-166</t>
  </si>
  <si>
    <t xml:space="preserve">V-167</t>
  </si>
  <si>
    <t xml:space="preserve">V-168</t>
  </si>
  <si>
    <t xml:space="preserve">V-169</t>
  </si>
  <si>
    <t xml:space="preserve">V-170</t>
  </si>
  <si>
    <t xml:space="preserve">V-171</t>
  </si>
  <si>
    <t xml:space="preserve">V-172</t>
  </si>
  <si>
    <t xml:space="preserve">V-173</t>
  </si>
  <si>
    <t xml:space="preserve">V-174</t>
  </si>
  <si>
    <t xml:space="preserve">V-175</t>
  </si>
  <si>
    <t xml:space="preserve">V-176</t>
  </si>
  <si>
    <t xml:space="preserve">V-177</t>
  </si>
  <si>
    <t xml:space="preserve">V-178</t>
  </si>
  <si>
    <t xml:space="preserve">V-179</t>
  </si>
  <si>
    <t xml:space="preserve">V-180</t>
  </si>
  <si>
    <t xml:space="preserve">V-181</t>
  </si>
  <si>
    <t xml:space="preserve">V-182</t>
  </si>
  <si>
    <t xml:space="preserve">V-183</t>
  </si>
  <si>
    <t xml:space="preserve">V-184</t>
  </si>
  <si>
    <t xml:space="preserve">V-185</t>
  </si>
  <si>
    <t xml:space="preserve">V-186</t>
  </si>
  <si>
    <t xml:space="preserve">V-187</t>
  </si>
  <si>
    <t xml:space="preserve">V-188</t>
  </si>
  <si>
    <t xml:space="preserve">V-189</t>
  </si>
  <si>
    <t xml:space="preserve">V-190</t>
  </si>
  <si>
    <t xml:space="preserve">V-191</t>
  </si>
  <si>
    <t xml:space="preserve">V-192</t>
  </si>
  <si>
    <t xml:space="preserve">V-193</t>
  </si>
  <si>
    <t xml:space="preserve">V-194</t>
  </si>
  <si>
    <t xml:space="preserve">V-195</t>
  </si>
  <si>
    <t xml:space="preserve">V-196</t>
  </si>
  <si>
    <t xml:space="preserve">V-197</t>
  </si>
  <si>
    <t xml:space="preserve">V-198</t>
  </si>
  <si>
    <t xml:space="preserve">V-199</t>
  </si>
  <si>
    <t xml:space="preserve">V-200</t>
  </si>
  <si>
    <t xml:space="preserve">V-201</t>
  </si>
  <si>
    <t xml:space="preserve">V-202</t>
  </si>
  <si>
    <t xml:space="preserve">V-203</t>
  </si>
  <si>
    <t xml:space="preserve">V-204</t>
  </si>
  <si>
    <t xml:space="preserve">V-205</t>
  </si>
  <si>
    <t xml:space="preserve">V-206</t>
  </si>
  <si>
    <t xml:space="preserve">V-207</t>
  </si>
  <si>
    <t xml:space="preserve">V-208</t>
  </si>
  <si>
    <t xml:space="preserve">V-209</t>
  </si>
  <si>
    <t xml:space="preserve">V-210</t>
  </si>
  <si>
    <t xml:space="preserve">V-211</t>
  </si>
  <si>
    <t xml:space="preserve">V-212</t>
  </si>
  <si>
    <t xml:space="preserve">V-213</t>
  </si>
  <si>
    <t xml:space="preserve">V-214</t>
  </si>
  <si>
    <t xml:space="preserve">V-215</t>
  </si>
  <si>
    <t xml:space="preserve">V-216</t>
  </si>
  <si>
    <t xml:space="preserve">V-217</t>
  </si>
  <si>
    <t xml:space="preserve">V-218</t>
  </si>
  <si>
    <t xml:space="preserve">V-219</t>
  </si>
  <si>
    <t xml:space="preserve">V-220</t>
  </si>
  <si>
    <t xml:space="preserve">V-221</t>
  </si>
  <si>
    <t xml:space="preserve">V-222</t>
  </si>
  <si>
    <t xml:space="preserve">V-223</t>
  </si>
  <si>
    <t xml:space="preserve">V-224</t>
  </si>
  <si>
    <t xml:space="preserve">V-225</t>
  </si>
  <si>
    <t xml:space="preserve">V-226</t>
  </si>
  <si>
    <t xml:space="preserve">V-227</t>
  </si>
  <si>
    <t xml:space="preserve">V-228</t>
  </si>
  <si>
    <t xml:space="preserve">V-229</t>
  </si>
  <si>
    <t xml:space="preserve">V-230</t>
  </si>
  <si>
    <t xml:space="preserve">V-231</t>
  </si>
  <si>
    <t xml:space="preserve">V-232</t>
  </si>
  <si>
    <t xml:space="preserve">V-233</t>
  </si>
  <si>
    <t xml:space="preserve">V-234</t>
  </si>
  <si>
    <t xml:space="preserve">V-235</t>
  </si>
  <si>
    <t xml:space="preserve">V-236</t>
  </si>
  <si>
    <t xml:space="preserve">V-237</t>
  </si>
  <si>
    <t xml:space="preserve">V-238</t>
  </si>
  <si>
    <t xml:space="preserve">V-239</t>
  </si>
  <si>
    <t xml:space="preserve">V-240</t>
  </si>
  <si>
    <t xml:space="preserve">V-241</t>
  </si>
  <si>
    <t xml:space="preserve">V-242</t>
  </si>
  <si>
    <t xml:space="preserve">V-243</t>
  </si>
  <si>
    <t xml:space="preserve">V-244</t>
  </si>
  <si>
    <t xml:space="preserve">V-245</t>
  </si>
  <si>
    <t xml:space="preserve">V-246</t>
  </si>
  <si>
    <t xml:space="preserve">V-247</t>
  </si>
  <si>
    <t xml:space="preserve">V-248</t>
  </si>
  <si>
    <t xml:space="preserve">V-249</t>
  </si>
  <si>
    <t xml:space="preserve">V-250</t>
  </si>
  <si>
    <t xml:space="preserve">V-251</t>
  </si>
  <si>
    <t xml:space="preserve">V-252</t>
  </si>
  <si>
    <t xml:space="preserve">V-253</t>
  </si>
  <si>
    <t xml:space="preserve">V-254</t>
  </si>
  <si>
    <t xml:space="preserve">V-255</t>
  </si>
  <si>
    <t xml:space="preserve">V-256</t>
  </si>
  <si>
    <t xml:space="preserve">V-257</t>
  </si>
  <si>
    <t xml:space="preserve">V-258</t>
  </si>
  <si>
    <t xml:space="preserve">V-259</t>
  </si>
  <si>
    <t xml:space="preserve">V-260</t>
  </si>
  <si>
    <t xml:space="preserve">V-261</t>
  </si>
  <si>
    <t xml:space="preserve">V-262</t>
  </si>
  <si>
    <t xml:space="preserve">V-263</t>
  </si>
  <si>
    <t xml:space="preserve">V-264</t>
  </si>
  <si>
    <t xml:space="preserve">V-265</t>
  </si>
  <si>
    <t xml:space="preserve">V-266</t>
  </si>
  <si>
    <t xml:space="preserve">V-267</t>
  </si>
  <si>
    <t xml:space="preserve">V-268</t>
  </si>
  <si>
    <t xml:space="preserve">V-269</t>
  </si>
  <si>
    <t xml:space="preserve">V-270</t>
  </si>
  <si>
    <t xml:space="preserve">V-271</t>
  </si>
  <si>
    <t xml:space="preserve">V-272</t>
  </si>
  <si>
    <t xml:space="preserve">V-273</t>
  </si>
  <si>
    <t xml:space="preserve">V-274</t>
  </si>
  <si>
    <t xml:space="preserve">V-275</t>
  </si>
  <si>
    <t xml:space="preserve">V-276</t>
  </si>
  <si>
    <t xml:space="preserve">V-277</t>
  </si>
  <si>
    <t xml:space="preserve">V-278</t>
  </si>
  <si>
    <t xml:space="preserve">V-279</t>
  </si>
  <si>
    <t xml:space="preserve">V-280</t>
  </si>
  <si>
    <t xml:space="preserve">V-281</t>
  </si>
  <si>
    <t xml:space="preserve">V-282</t>
  </si>
  <si>
    <t xml:space="preserve">V-283</t>
  </si>
  <si>
    <t xml:space="preserve">V-284</t>
  </si>
  <si>
    <t xml:space="preserve">V-285</t>
  </si>
  <si>
    <t xml:space="preserve">V-286</t>
  </si>
  <si>
    <t xml:space="preserve">V-287</t>
  </si>
  <si>
    <t xml:space="preserve">V-288</t>
  </si>
  <si>
    <t xml:space="preserve">V-289</t>
  </si>
  <si>
    <t xml:space="preserve">V-290</t>
  </si>
  <si>
    <t xml:space="preserve">V-291</t>
  </si>
  <si>
    <t xml:space="preserve">V-292</t>
  </si>
  <si>
    <t xml:space="preserve">V-293</t>
  </si>
  <si>
    <t xml:space="preserve">V-294</t>
  </si>
  <si>
    <t xml:space="preserve">V-295</t>
  </si>
  <si>
    <t xml:space="preserve">V-296</t>
  </si>
  <si>
    <t xml:space="preserve">V-297</t>
  </si>
  <si>
    <t xml:space="preserve">V-298</t>
  </si>
  <si>
    <t xml:space="preserve">V-299</t>
  </si>
  <si>
    <t xml:space="preserve">V-300</t>
  </si>
  <si>
    <t xml:space="preserve">V-301</t>
  </si>
  <si>
    <t xml:space="preserve">V-302</t>
  </si>
  <si>
    <t xml:space="preserve">V-303</t>
  </si>
  <si>
    <t xml:space="preserve">V-304</t>
  </si>
  <si>
    <t xml:space="preserve">V-305</t>
  </si>
  <si>
    <t xml:space="preserve">V-306</t>
  </si>
  <si>
    <t xml:space="preserve">V-307</t>
  </si>
  <si>
    <t xml:space="preserve">V-308</t>
  </si>
  <si>
    <t xml:space="preserve">V-309</t>
  </si>
  <si>
    <t xml:space="preserve">V-310</t>
  </si>
  <si>
    <t xml:space="preserve">V-311</t>
  </si>
  <si>
    <t xml:space="preserve">V-312</t>
  </si>
  <si>
    <t xml:space="preserve">V-313</t>
  </si>
  <si>
    <t xml:space="preserve">V-314</t>
  </si>
  <si>
    <t xml:space="preserve">V-315</t>
  </si>
  <si>
    <t xml:space="preserve">V-316</t>
  </si>
  <si>
    <t xml:space="preserve">V-317</t>
  </si>
  <si>
    <t xml:space="preserve">V-318</t>
  </si>
  <si>
    <t xml:space="preserve">V-319</t>
  </si>
  <si>
    <t xml:space="preserve">V-320</t>
  </si>
  <si>
    <t xml:space="preserve">V-321</t>
  </si>
  <si>
    <t xml:space="preserve">V-322</t>
  </si>
  <si>
    <t xml:space="preserve">V-323</t>
  </si>
  <si>
    <t xml:space="preserve">V-324</t>
  </si>
  <si>
    <t xml:space="preserve">V-325</t>
  </si>
  <si>
    <t xml:space="preserve">V-326</t>
  </si>
  <si>
    <t xml:space="preserve">V-327</t>
  </si>
  <si>
    <t xml:space="preserve">V-328</t>
  </si>
  <si>
    <t xml:space="preserve">V-329</t>
  </si>
  <si>
    <t xml:space="preserve">V-330</t>
  </si>
  <si>
    <t xml:space="preserve">V-331</t>
  </si>
  <si>
    <t xml:space="preserve">V-332</t>
  </si>
  <si>
    <t xml:space="preserve">V-333</t>
  </si>
  <si>
    <t xml:space="preserve">V-334</t>
  </si>
  <si>
    <t xml:space="preserve">V-335</t>
  </si>
  <si>
    <t xml:space="preserve">V-336</t>
  </si>
  <si>
    <t xml:space="preserve">V-337</t>
  </si>
  <si>
    <t xml:space="preserve">V-338</t>
  </si>
  <si>
    <t xml:space="preserve">V-339</t>
  </si>
  <si>
    <t xml:space="preserve">V-340</t>
  </si>
  <si>
    <t xml:space="preserve">V-341</t>
  </si>
  <si>
    <t xml:space="preserve">V-342</t>
  </si>
  <si>
    <t xml:space="preserve">V-343</t>
  </si>
  <si>
    <t xml:space="preserve">V-344</t>
  </si>
  <si>
    <t xml:space="preserve">V-345</t>
  </si>
  <si>
    <t xml:space="preserve">V-346</t>
  </si>
  <si>
    <t xml:space="preserve">V-347</t>
  </si>
  <si>
    <t xml:space="preserve">V-348</t>
  </si>
  <si>
    <t xml:space="preserve">V-349</t>
  </si>
  <si>
    <t xml:space="preserve">V-350</t>
  </si>
  <si>
    <t xml:space="preserve">V-351</t>
  </si>
  <si>
    <t xml:space="preserve">V-352</t>
  </si>
  <si>
    <t xml:space="preserve">V-353</t>
  </si>
  <si>
    <t xml:space="preserve">V-354</t>
  </si>
  <si>
    <t xml:space="preserve">V-355</t>
  </si>
  <si>
    <t xml:space="preserve">V-356</t>
  </si>
  <si>
    <t xml:space="preserve">V-357</t>
  </si>
  <si>
    <t xml:space="preserve">V-358</t>
  </si>
  <si>
    <t xml:space="preserve">V-359</t>
  </si>
  <si>
    <t xml:space="preserve">V-360</t>
  </si>
  <si>
    <t xml:space="preserve">V-361</t>
  </si>
  <si>
    <t xml:space="preserve">V-362</t>
  </si>
  <si>
    <t xml:space="preserve">V-363</t>
  </si>
  <si>
    <t xml:space="preserve">V-364</t>
  </si>
  <si>
    <t xml:space="preserve">V-365</t>
  </si>
  <si>
    <t xml:space="preserve">V-366</t>
  </si>
  <si>
    <t xml:space="preserve">V-367</t>
  </si>
  <si>
    <t xml:space="preserve">V-368</t>
  </si>
  <si>
    <t xml:space="preserve">V-369</t>
  </si>
  <si>
    <t xml:space="preserve">V-370</t>
  </si>
  <si>
    <t xml:space="preserve">V-371</t>
  </si>
  <si>
    <t xml:space="preserve">V-372</t>
  </si>
  <si>
    <t xml:space="preserve">V-373</t>
  </si>
  <si>
    <t xml:space="preserve">V-374</t>
  </si>
  <si>
    <t xml:space="preserve">V-375</t>
  </si>
  <si>
    <t xml:space="preserve">V-376</t>
  </si>
  <si>
    <t xml:space="preserve">V-377</t>
  </si>
  <si>
    <t xml:space="preserve">V-378</t>
  </si>
  <si>
    <t xml:space="preserve">V-379</t>
  </si>
  <si>
    <t xml:space="preserve">V-380</t>
  </si>
  <si>
    <t xml:space="preserve">V-381</t>
  </si>
  <si>
    <t xml:space="preserve">V-382</t>
  </si>
  <si>
    <t xml:space="preserve">V-383</t>
  </si>
  <si>
    <t xml:space="preserve">V-384</t>
  </si>
  <si>
    <t xml:space="preserve">V-385</t>
  </si>
  <si>
    <t xml:space="preserve">V-386</t>
  </si>
  <si>
    <t xml:space="preserve">V-387</t>
  </si>
  <si>
    <t xml:space="preserve">V-388</t>
  </si>
  <si>
    <t xml:space="preserve">V-389</t>
  </si>
  <si>
    <t xml:space="preserve">V-390</t>
  </si>
  <si>
    <t xml:space="preserve">V-391</t>
  </si>
  <si>
    <t xml:space="preserve">V-392</t>
  </si>
  <si>
    <t xml:space="preserve">V-393</t>
  </si>
  <si>
    <t xml:space="preserve">V-394</t>
  </si>
  <si>
    <t xml:space="preserve">V-395</t>
  </si>
  <si>
    <t xml:space="preserve">V-396</t>
  </si>
  <si>
    <t xml:space="preserve">V-397</t>
  </si>
  <si>
    <t xml:space="preserve">V-398</t>
  </si>
  <si>
    <t xml:space="preserve">V-399</t>
  </si>
  <si>
    <t xml:space="preserve">V-400</t>
  </si>
  <si>
    <t xml:space="preserve">V-401</t>
  </si>
  <si>
    <t xml:space="preserve">V-402</t>
  </si>
  <si>
    <t xml:space="preserve">V-403</t>
  </si>
  <si>
    <t xml:space="preserve">V-404</t>
  </si>
  <si>
    <t xml:space="preserve">V-405</t>
  </si>
  <si>
    <t xml:space="preserve">V-406</t>
  </si>
  <si>
    <t xml:space="preserve">V-407</t>
  </si>
  <si>
    <t xml:space="preserve">V-408</t>
  </si>
  <si>
    <t xml:space="preserve">V-409</t>
  </si>
  <si>
    <t xml:space="preserve">V-410</t>
  </si>
  <si>
    <t xml:space="preserve">V-411</t>
  </si>
  <si>
    <t xml:space="preserve">V-412</t>
  </si>
  <si>
    <t xml:space="preserve">V-413</t>
  </si>
  <si>
    <t xml:space="preserve">V-414</t>
  </si>
  <si>
    <t xml:space="preserve">V-415</t>
  </si>
  <si>
    <t xml:space="preserve">V-416</t>
  </si>
  <si>
    <t xml:space="preserve">V-417</t>
  </si>
  <si>
    <t xml:space="preserve">V-418</t>
  </si>
  <si>
    <t xml:space="preserve">V-419</t>
  </si>
  <si>
    <t xml:space="preserve">V-420</t>
  </si>
  <si>
    <t xml:space="preserve">V-421</t>
  </si>
  <si>
    <t xml:space="preserve">V-422</t>
  </si>
  <si>
    <t xml:space="preserve">V-423</t>
  </si>
  <si>
    <t xml:space="preserve">V-424</t>
  </si>
  <si>
    <t xml:space="preserve">V-425</t>
  </si>
  <si>
    <t xml:space="preserve">V-426</t>
  </si>
  <si>
    <t xml:space="preserve">V-427</t>
  </si>
  <si>
    <t xml:space="preserve">V-428</t>
  </si>
  <si>
    <t xml:space="preserve">V-429</t>
  </si>
  <si>
    <t xml:space="preserve">V-430</t>
  </si>
  <si>
    <t xml:space="preserve">V-431</t>
  </si>
  <si>
    <t xml:space="preserve">V-432</t>
  </si>
  <si>
    <t xml:space="preserve">V-433</t>
  </si>
  <si>
    <t xml:space="preserve">V-434</t>
  </si>
  <si>
    <t xml:space="preserve">V-435</t>
  </si>
  <si>
    <t xml:space="preserve">V-436</t>
  </si>
  <si>
    <t xml:space="preserve">V-437</t>
  </si>
  <si>
    <t xml:space="preserve">V-438</t>
  </si>
  <si>
    <t xml:space="preserve">V-439</t>
  </si>
  <si>
    <t xml:space="preserve">V-440</t>
  </si>
  <si>
    <t xml:space="preserve">V-441</t>
  </si>
  <si>
    <t xml:space="preserve">V-442</t>
  </si>
  <si>
    <t xml:space="preserve">V-443</t>
  </si>
  <si>
    <t xml:space="preserve">V-444</t>
  </si>
  <si>
    <t xml:space="preserve">V-445</t>
  </si>
  <si>
    <t xml:space="preserve">V-446</t>
  </si>
  <si>
    <t xml:space="preserve">V-447</t>
  </si>
  <si>
    <t xml:space="preserve">V-448</t>
  </si>
  <si>
    <t xml:space="preserve">V-449</t>
  </si>
  <si>
    <t xml:space="preserve">V-450</t>
  </si>
  <si>
    <t xml:space="preserve">V-451</t>
  </si>
  <si>
    <t xml:space="preserve">V-452</t>
  </si>
  <si>
    <t xml:space="preserve">V-453</t>
  </si>
  <si>
    <t xml:space="preserve">V-454</t>
  </si>
  <si>
    <t xml:space="preserve">V-455</t>
  </si>
  <si>
    <t xml:space="preserve">V-456</t>
  </si>
  <si>
    <t xml:space="preserve">V-457</t>
  </si>
  <si>
    <t xml:space="preserve">V-458</t>
  </si>
  <si>
    <t xml:space="preserve">V-459</t>
  </si>
  <si>
    <t xml:space="preserve">V-460</t>
  </si>
  <si>
    <t xml:space="preserve">V-461</t>
  </si>
  <si>
    <t xml:space="preserve">V-462</t>
  </si>
  <si>
    <t xml:space="preserve">V-463</t>
  </si>
  <si>
    <t xml:space="preserve">V-464</t>
  </si>
  <si>
    <t xml:space="preserve">V-465</t>
  </si>
  <si>
    <t xml:space="preserve">V-466</t>
  </si>
  <si>
    <t xml:space="preserve">V-467</t>
  </si>
  <si>
    <t xml:space="preserve">V-468</t>
  </si>
  <si>
    <t xml:space="preserve">V-469</t>
  </si>
  <si>
    <t xml:space="preserve">V-470</t>
  </si>
  <si>
    <t xml:space="preserve">V-471</t>
  </si>
  <si>
    <t xml:space="preserve">V-472</t>
  </si>
  <si>
    <t xml:space="preserve">V-473</t>
  </si>
  <si>
    <t xml:space="preserve">V-474</t>
  </si>
  <si>
    <t xml:space="preserve">V-475</t>
  </si>
  <si>
    <t xml:space="preserve">V-476</t>
  </si>
  <si>
    <t xml:space="preserve">V-477</t>
  </si>
  <si>
    <t xml:space="preserve">V-478</t>
  </si>
  <si>
    <t xml:space="preserve">V-479</t>
  </si>
  <si>
    <t xml:space="preserve">V-480</t>
  </si>
  <si>
    <t xml:space="preserve">V-481</t>
  </si>
  <si>
    <t xml:space="preserve">V-482</t>
  </si>
  <si>
    <t xml:space="preserve">V-483</t>
  </si>
  <si>
    <t xml:space="preserve">V-484</t>
  </si>
  <si>
    <t xml:space="preserve">V-485</t>
  </si>
  <si>
    <t xml:space="preserve">V-486</t>
  </si>
  <si>
    <t xml:space="preserve">V-487</t>
  </si>
  <si>
    <t xml:space="preserve">V-488</t>
  </si>
  <si>
    <t xml:space="preserve">V-489</t>
  </si>
  <si>
    <t xml:space="preserve">V-490</t>
  </si>
  <si>
    <t xml:space="preserve">V-491</t>
  </si>
  <si>
    <t xml:space="preserve">V-492</t>
  </si>
  <si>
    <t xml:space="preserve">V-493</t>
  </si>
  <si>
    <t xml:space="preserve">V-494</t>
  </si>
  <si>
    <t xml:space="preserve">V-495</t>
  </si>
  <si>
    <t xml:space="preserve">V-496</t>
  </si>
  <si>
    <t xml:space="preserve">V-497</t>
  </si>
  <si>
    <t xml:space="preserve">V-498</t>
  </si>
  <si>
    <t xml:space="preserve">V-499</t>
  </si>
  <si>
    <t xml:space="preserve">V-500</t>
  </si>
  <si>
    <t xml:space="preserve">deferred_id</t>
  </si>
  <si>
    <t xml:space="preserve">raised_in</t>
  </si>
  <si>
    <t xml:space="preserve">to_code</t>
  </si>
  <si>
    <t xml:space="preserve">edit</t>
  </si>
  <si>
    <t xml:space="preserve">agreed_on</t>
  </si>
  <si>
    <t xml:space="preserve">pick_up</t>
  </si>
  <si>
    <t xml:space="preserve">to_code_in_review</t>
  </si>
  <si>
    <t xml:space="preserve">alert</t>
  </si>
  <si>
    <t xml:space="preserve">from_comment</t>
  </si>
  <si>
    <t xml:space="preserve">D-001</t>
  </si>
  <si>
    <t xml:space="preserve">DFK</t>
  </si>
  <si>
    <t xml:space="preserve">Move the donor-influence sentence from KEB to DFK.</t>
  </si>
  <si>
    <t xml:space="preserve">Next revision of to_code</t>
  </si>
  <si>
    <t xml:space="preserve">Waiting</t>
  </si>
  <si>
    <t xml:space="preserve">D-002</t>
  </si>
  <si>
    <t xml:space="preserve">Corpus check</t>
  </si>
  <si>
    <t xml:space="preserve">GANA</t>
  </si>
  <si>
    <t xml:space="preserve">GANA names JGCC, which is not in the manual (JGCC-R is). Update the cross-reference.</t>
  </si>
  <si>
    <t xml:space="preserve">Simbli corpus, Oct 8</t>
  </si>
  <si>
    <t xml:space="preserve">D-003</t>
  </si>
  <si>
    <t xml:space="preserve">GBA</t>
  </si>
  <si>
    <t xml:space="preserve">GBA names GDA-E(1), which is not in the manual. Update the cross-reference.</t>
  </si>
  <si>
    <t xml:space="preserve">D-004</t>
  </si>
  <si>
    <t xml:space="preserve">JBC(1)-R(1)</t>
  </si>
  <si>
    <t xml:space="preserve">JBC(1)-R(1) names JCE, which is not in the manual. Update the cross-reference.</t>
  </si>
  <si>
    <t xml:space="preserve">D-005</t>
  </si>
  <si>
    <t xml:space="preserve">Add a cross-reference between IFBG and IFBI so the two policies point to each other.</t>
  </si>
  <si>
    <t xml:space="preserve">Proposed</t>
  </si>
  <si>
    <t xml:space="preserve">D-006</t>
  </si>
  <si>
    <t xml:space="preserve">D-007</t>
  </si>
  <si>
    <t xml:space="preserve">D-008</t>
  </si>
  <si>
    <t xml:space="preserve">D-009</t>
  </si>
  <si>
    <t xml:space="preserve">D-010</t>
  </si>
  <si>
    <t xml:space="preserve">D-011</t>
  </si>
  <si>
    <t xml:space="preserve">D-012</t>
  </si>
  <si>
    <t xml:space="preserve">D-013</t>
  </si>
  <si>
    <t xml:space="preserve">D-014</t>
  </si>
  <si>
    <t xml:space="preserve">D-015</t>
  </si>
  <si>
    <t xml:space="preserve">D-016</t>
  </si>
  <si>
    <t xml:space="preserve">D-017</t>
  </si>
  <si>
    <t xml:space="preserve">D-018</t>
  </si>
  <si>
    <t xml:space="preserve">D-019</t>
  </si>
  <si>
    <t xml:space="preserve">D-020</t>
  </si>
  <si>
    <t xml:space="preserve">D-021</t>
  </si>
  <si>
    <t xml:space="preserve">D-022</t>
  </si>
  <si>
    <t xml:space="preserve">D-023</t>
  </si>
  <si>
    <t xml:space="preserve">D-024</t>
  </si>
  <si>
    <t xml:space="preserve">D-025</t>
  </si>
  <si>
    <t xml:space="preserve">D-026</t>
  </si>
  <si>
    <t xml:space="preserve">D-027</t>
  </si>
  <si>
    <t xml:space="preserve">D-028</t>
  </si>
  <si>
    <t xml:space="preserve">D-029</t>
  </si>
  <si>
    <t xml:space="preserve">D-030</t>
  </si>
  <si>
    <t xml:space="preserve">D-031</t>
  </si>
  <si>
    <t xml:space="preserve">D-032</t>
  </si>
  <si>
    <t xml:space="preserve">D-033</t>
  </si>
  <si>
    <t xml:space="preserve">D-034</t>
  </si>
  <si>
    <t xml:space="preserve">D-035</t>
  </si>
  <si>
    <t xml:space="preserve">D-036</t>
  </si>
  <si>
    <t xml:space="preserve">D-037</t>
  </si>
  <si>
    <t xml:space="preserve">D-038</t>
  </si>
  <si>
    <t xml:space="preserve">D-039</t>
  </si>
  <si>
    <t xml:space="preserve">D-040</t>
  </si>
  <si>
    <t xml:space="preserve">D-041</t>
  </si>
  <si>
    <t xml:space="preserve">D-042</t>
  </si>
  <si>
    <t xml:space="preserve">D-043</t>
  </si>
  <si>
    <t xml:space="preserve">D-044</t>
  </si>
  <si>
    <t xml:space="preserve">D-045</t>
  </si>
  <si>
    <t xml:space="preserve">D-046</t>
  </si>
  <si>
    <t xml:space="preserve">D-047</t>
  </si>
  <si>
    <t xml:space="preserve">D-048</t>
  </si>
  <si>
    <t xml:space="preserve">D-049</t>
  </si>
  <si>
    <t xml:space="preserve">D-050</t>
  </si>
  <si>
    <t xml:space="preserve">D-051</t>
  </si>
  <si>
    <t xml:space="preserve">D-052</t>
  </si>
  <si>
    <t xml:space="preserve">D-053</t>
  </si>
  <si>
    <t xml:space="preserve">D-054</t>
  </si>
  <si>
    <t xml:space="preserve">D-055</t>
  </si>
  <si>
    <t xml:space="preserve">D-056</t>
  </si>
  <si>
    <t xml:space="preserve">D-057</t>
  </si>
  <si>
    <t xml:space="preserve">D-058</t>
  </si>
  <si>
    <t xml:space="preserve">D-059</t>
  </si>
  <si>
    <t xml:space="preserve">D-060</t>
  </si>
  <si>
    <t xml:space="preserve">D-061</t>
  </si>
  <si>
    <t xml:space="preserve">D-062</t>
  </si>
  <si>
    <t xml:space="preserve">D-063</t>
  </si>
  <si>
    <t xml:space="preserve">D-064</t>
  </si>
  <si>
    <t xml:space="preserve">D-065</t>
  </si>
  <si>
    <t xml:space="preserve">D-066</t>
  </si>
  <si>
    <t xml:space="preserve">D-067</t>
  </si>
  <si>
    <t xml:space="preserve">D-068</t>
  </si>
  <si>
    <t xml:space="preserve">D-069</t>
  </si>
  <si>
    <t xml:space="preserve">D-070</t>
  </si>
  <si>
    <t xml:space="preserve">D-071</t>
  </si>
  <si>
    <t xml:space="preserve">D-072</t>
  </si>
  <si>
    <t xml:space="preserve">D-073</t>
  </si>
  <si>
    <t xml:space="preserve">D-074</t>
  </si>
  <si>
    <t xml:space="preserve">D-075</t>
  </si>
  <si>
    <t xml:space="preserve">D-076</t>
  </si>
  <si>
    <t xml:space="preserve">D-077</t>
  </si>
  <si>
    <t xml:space="preserve">D-078</t>
  </si>
  <si>
    <t xml:space="preserve">D-079</t>
  </si>
  <si>
    <t xml:space="preserve">D-080</t>
  </si>
  <si>
    <t xml:space="preserve">D-081</t>
  </si>
  <si>
    <t xml:space="preserve">D-082</t>
  </si>
  <si>
    <t xml:space="preserve">D-083</t>
  </si>
  <si>
    <t xml:space="preserve">D-084</t>
  </si>
  <si>
    <t xml:space="preserve">D-085</t>
  </si>
  <si>
    <t xml:space="preserve">D-086</t>
  </si>
  <si>
    <t xml:space="preserve">D-087</t>
  </si>
  <si>
    <t xml:space="preserve">D-088</t>
  </si>
  <si>
    <t xml:space="preserve">D-089</t>
  </si>
  <si>
    <t xml:space="preserve">D-090</t>
  </si>
  <si>
    <t xml:space="preserve">D-091</t>
  </si>
  <si>
    <t xml:space="preserve">D-092</t>
  </si>
  <si>
    <t xml:space="preserve">D-093</t>
  </si>
  <si>
    <t xml:space="preserve">D-094</t>
  </si>
  <si>
    <t xml:space="preserve">D-095</t>
  </si>
  <si>
    <t xml:space="preserve">D-096</t>
  </si>
  <si>
    <t xml:space="preserve">D-097</t>
  </si>
  <si>
    <t xml:space="preserve">D-098</t>
  </si>
  <si>
    <t xml:space="preserve">D-099</t>
  </si>
  <si>
    <t xml:space="preserve">D-100</t>
  </si>
  <si>
    <t xml:space="preserve">D-101</t>
  </si>
  <si>
    <t xml:space="preserve">D-102</t>
  </si>
  <si>
    <t xml:space="preserve">D-103</t>
  </si>
  <si>
    <t xml:space="preserve">D-104</t>
  </si>
  <si>
    <t xml:space="preserve">D-105</t>
  </si>
  <si>
    <t xml:space="preserve">D-106</t>
  </si>
  <si>
    <t xml:space="preserve">D-107</t>
  </si>
  <si>
    <t xml:space="preserve">D-108</t>
  </si>
  <si>
    <t xml:space="preserve">D-109</t>
  </si>
  <si>
    <t xml:space="preserve">D-110</t>
  </si>
  <si>
    <t xml:space="preserve">D-111</t>
  </si>
  <si>
    <t xml:space="preserve">D-112</t>
  </si>
  <si>
    <t xml:space="preserve">D-113</t>
  </si>
  <si>
    <t xml:space="preserve">D-114</t>
  </si>
  <si>
    <t xml:space="preserve">D-115</t>
  </si>
  <si>
    <t xml:space="preserve">D-116</t>
  </si>
  <si>
    <t xml:space="preserve">D-117</t>
  </si>
  <si>
    <t xml:space="preserve">D-118</t>
  </si>
  <si>
    <t xml:space="preserve">D-119</t>
  </si>
  <si>
    <t xml:space="preserve">D-120</t>
  </si>
  <si>
    <t xml:space="preserve">D-121</t>
  </si>
  <si>
    <t xml:space="preserve">D-122</t>
  </si>
  <si>
    <t xml:space="preserve">D-123</t>
  </si>
  <si>
    <t xml:space="preserve">D-124</t>
  </si>
  <si>
    <t xml:space="preserve">D-125</t>
  </si>
  <si>
    <t xml:space="preserve">D-126</t>
  </si>
  <si>
    <t xml:space="preserve">D-127</t>
  </si>
  <si>
    <t xml:space="preserve">D-128</t>
  </si>
  <si>
    <t xml:space="preserve">D-129</t>
  </si>
  <si>
    <t xml:space="preserve">D-130</t>
  </si>
  <si>
    <t xml:space="preserve">D-131</t>
  </si>
  <si>
    <t xml:space="preserve">D-132</t>
  </si>
  <si>
    <t xml:space="preserve">D-133</t>
  </si>
  <si>
    <t xml:space="preserve">D-134</t>
  </si>
  <si>
    <t xml:space="preserve">D-135</t>
  </si>
  <si>
    <t xml:space="preserve">D-136</t>
  </si>
  <si>
    <t xml:space="preserve">D-137</t>
  </si>
  <si>
    <t xml:space="preserve">D-138</t>
  </si>
  <si>
    <t xml:space="preserve">D-139</t>
  </si>
  <si>
    <t xml:space="preserve">D-140</t>
  </si>
  <si>
    <t xml:space="preserve">D-141</t>
  </si>
  <si>
    <t xml:space="preserve">D-142</t>
  </si>
  <si>
    <t xml:space="preserve">D-143</t>
  </si>
  <si>
    <t xml:space="preserve">D-144</t>
  </si>
  <si>
    <t xml:space="preserve">D-145</t>
  </si>
  <si>
    <t xml:space="preserve">D-146</t>
  </si>
  <si>
    <t xml:space="preserve">D-147</t>
  </si>
  <si>
    <t xml:space="preserve">D-148</t>
  </si>
  <si>
    <t xml:space="preserve">D-149</t>
  </si>
  <si>
    <t xml:space="preserve">D-150</t>
  </si>
  <si>
    <t xml:space="preserve">D-151</t>
  </si>
  <si>
    <t xml:space="preserve">D-152</t>
  </si>
  <si>
    <t xml:space="preserve">D-153</t>
  </si>
  <si>
    <t xml:space="preserve">D-154</t>
  </si>
  <si>
    <t xml:space="preserve">D-155</t>
  </si>
  <si>
    <t xml:space="preserve">D-156</t>
  </si>
  <si>
    <t xml:space="preserve">D-157</t>
  </si>
  <si>
    <t xml:space="preserve">D-158</t>
  </si>
  <si>
    <t xml:space="preserve">D-159</t>
  </si>
  <si>
    <t xml:space="preserve">D-160</t>
  </si>
  <si>
    <t xml:space="preserve">D-161</t>
  </si>
  <si>
    <t xml:space="preserve">D-162</t>
  </si>
  <si>
    <t xml:space="preserve">D-163</t>
  </si>
  <si>
    <t xml:space="preserve">D-164</t>
  </si>
  <si>
    <t xml:space="preserve">D-165</t>
  </si>
  <si>
    <t xml:space="preserve">D-166</t>
  </si>
  <si>
    <t xml:space="preserve">D-167</t>
  </si>
  <si>
    <t xml:space="preserve">D-168</t>
  </si>
  <si>
    <t xml:space="preserve">D-169</t>
  </si>
  <si>
    <t xml:space="preserve">D-170</t>
  </si>
  <si>
    <t xml:space="preserve">D-171</t>
  </si>
  <si>
    <t xml:space="preserve">D-172</t>
  </si>
  <si>
    <t xml:space="preserve">D-173</t>
  </si>
  <si>
    <t xml:space="preserve">D-174</t>
  </si>
  <si>
    <t xml:space="preserve">D-175</t>
  </si>
  <si>
    <t xml:space="preserve">D-176</t>
  </si>
  <si>
    <t xml:space="preserve">D-177</t>
  </si>
  <si>
    <t xml:space="preserve">D-178</t>
  </si>
  <si>
    <t xml:space="preserve">D-179</t>
  </si>
  <si>
    <t xml:space="preserve">D-180</t>
  </si>
  <si>
    <t xml:space="preserve">D-181</t>
  </si>
  <si>
    <t xml:space="preserve">D-182</t>
  </si>
  <si>
    <t xml:space="preserve">D-183</t>
  </si>
  <si>
    <t xml:space="preserve">D-184</t>
  </si>
  <si>
    <t xml:space="preserve">D-185</t>
  </si>
  <si>
    <t xml:space="preserve">D-186</t>
  </si>
  <si>
    <t xml:space="preserve">D-187</t>
  </si>
  <si>
    <t xml:space="preserve">D-188</t>
  </si>
  <si>
    <t xml:space="preserve">D-189</t>
  </si>
  <si>
    <t xml:space="preserve">D-190</t>
  </si>
  <si>
    <t xml:space="preserve">D-191</t>
  </si>
  <si>
    <t xml:space="preserve">D-192</t>
  </si>
  <si>
    <t xml:space="preserve">D-193</t>
  </si>
  <si>
    <t xml:space="preserve">D-194</t>
  </si>
  <si>
    <t xml:space="preserve">D-195</t>
  </si>
  <si>
    <t xml:space="preserve">D-196</t>
  </si>
  <si>
    <t xml:space="preserve">D-197</t>
  </si>
  <si>
    <t xml:space="preserve">D-198</t>
  </si>
  <si>
    <t xml:space="preserve">D-199</t>
  </si>
  <si>
    <t xml:space="preserve">D-200</t>
  </si>
  <si>
    <t xml:space="preserve">How a Policy Administrator would coordinate the policy cycle</t>
  </si>
  <si>
    <t xml:space="preserve">Who does what at each stage, with timing and the hand-offs the tracker records. An example built from the district's published policies and public meetings; not adopted by the district.</t>
  </si>
  <si>
    <t xml:space="preserve">What the tracker records at each hand-off (numbers match the markers on the flow)</t>
  </si>
  <si>
    <t xml:space="preserve">#</t>
  </si>
  <si>
    <t xml:space="preserve">Hand-off</t>
  </si>
  <si>
    <t xml:space="preserve">What the tracker does</t>
  </si>
  <si>
    <t xml:space="preserve">Edits saved for the next revision</t>
  </si>
  <si>
    <t xml:space="preserve">A change agreed for a later revision is saved and flagged automatically when that policy reopens.</t>
  </si>
  <si>
    <t xml:space="preserve">Which draft is current</t>
  </si>
  <si>
    <t xml:space="preserve">Every draft is numbered and has one home; the newest frozen version is official.</t>
  </si>
  <si>
    <t xml:space="preserve">Next steps agreed in meetings</t>
  </si>
  <si>
    <t xml:space="preserve">Next step and date on every draft, flagged a week ahead.</t>
  </si>
  <si>
    <t xml:space="preserve">Every comment and its source</t>
  </si>
  <si>
    <t xml:space="preserve">One row, one route and one recorded response for each comment: online comments, Word redlines, the feedback form and meetings.</t>
  </si>
  <si>
    <t xml:space="preserve">Regulations after adoption</t>
  </si>
  <si>
    <t xml:space="preserve">Drafts, Status</t>
  </si>
  <si>
    <t xml:space="preserve">Due date set from the vote: 30 days after adoption, the timing described at the Oct 5, 2026 board meeting; the stated goal is drafts with the policy. Stays on Status until done or marked not needed.</t>
  </si>
  <si>
    <t xml:space="preserve">The policy cycle</t>
  </si>
  <si>
    <t xml:space="preserve">Routes (the Comments tab's route dropdown and goes_to column read from this table)</t>
  </si>
  <si>
    <t xml:space="preserve">what it means</t>
  </si>
  <si>
    <t xml:space="preserve">goes to</t>
  </si>
  <si>
    <t xml:space="preserve">who acts</t>
  </si>
  <si>
    <t xml:space="preserve">The comment changes the policy text.</t>
  </si>
  <si>
    <t xml:space="preserve">The next draft version (Versions tab)</t>
  </si>
  <si>
    <t xml:space="preserve">Drafting office with Legal Affairs</t>
  </si>
  <si>
    <t xml:space="preserve">It's about how, not what. It belongs in the regulation.</t>
  </si>
  <si>
    <t xml:space="preserve">The regulation draft for that policy</t>
  </si>
  <si>
    <t xml:space="preserve">A good change, but for a policy that isn't open now.</t>
  </si>
  <si>
    <t xml:space="preserve">Deferred edits tab; flagged when that policy reopens</t>
  </si>
  <si>
    <t xml:space="preserve">Policy Administrator</t>
  </si>
  <si>
    <t xml:space="preserve">A question answered without changing the text.</t>
  </si>
  <si>
    <t xml:space="preserve">Response recorded in the log</t>
  </si>
  <si>
    <t xml:space="preserve">Responding office</t>
  </si>
  <si>
    <t xml:space="preserve">Not accepted</t>
  </si>
  <si>
    <t xml:space="preserve">The committee decided not to make the change.</t>
  </si>
  <si>
    <t xml:space="preserve">Reason recorded in the log</t>
  </si>
  <si>
    <t xml:space="preserve">Support or a general comment.</t>
  </si>
  <si>
    <t xml:space="preserve">Counted in the log</t>
  </si>
  <si>
    <t xml:space="preserve">Waiting on a committee or board decision.</t>
  </si>
  <si>
    <t xml:space="preserve">The next committee agenda</t>
  </si>
  <si>
    <t xml:space="preserve">Policy feedback form</t>
  </si>
  <si>
    <t xml:space="preserve">For board members and staff, for feedback not written in a redline: a question, a request or a general comment. Built in Microsoft Forms. Every question matches a column in the Comments tab, so each response becomes one row with nothing retyped.</t>
  </si>
  <si>
    <t xml:space="preserve">Question</t>
  </si>
  <si>
    <t xml:space="preserve">Answer type</t>
  </si>
  <si>
    <t xml:space="preserve">Required</t>
  </si>
  <si>
    <t xml:space="preserve">Comments column</t>
  </si>
  <si>
    <t xml:space="preserve">Notes</t>
  </si>
  <si>
    <t xml:space="preserve">Your role</t>
  </si>
  <si>
    <t xml:space="preserve">Choice: Board member, Staff</t>
  </si>
  <si>
    <t xml:space="preserve">Roles only in the log, never names.</t>
  </si>
  <si>
    <t xml:space="preserve">Which policy?</t>
  </si>
  <si>
    <t xml:space="preserve">Dropdown of codes now in review</t>
  </si>
  <si>
    <t xml:space="preserve">Update the list when Drafts changes.</t>
  </si>
  <si>
    <t xml:space="preserve">Which version did you read?</t>
  </si>
  <si>
    <t xml:space="preserve">Choice: posted draft for first reading, committee redline, second-reading draft, other</t>
  </si>
  <si>
    <t xml:space="preserve">Which section?</t>
  </si>
  <si>
    <t xml:space="preserve">Short text</t>
  </si>
  <si>
    <t xml:space="preserve">What kind of feedback?</t>
  </si>
  <si>
    <t xml:space="preserve">Choice: question, suggested change, concern, support</t>
  </si>
  <si>
    <t xml:space="preserve">(helps choose the route)</t>
  </si>
  <si>
    <t xml:space="preserve">Question usually becomes Answered, no change. Support becomes Noted. Staff decide the rest.</t>
  </si>
  <si>
    <t xml:space="preserve">Your comment</t>
  </si>
  <si>
    <t xml:space="preserve">Long text</t>
  </si>
  <si>
    <t xml:space="preserve">Suggested wording</t>
  </si>
  <si>
    <t xml:space="preserve">Added after the comment, in brackets.</t>
  </si>
  <si>
    <t xml:space="preserve">Filled in automatically</t>
  </si>
  <si>
    <t xml:space="preserve">The time the response was submitted.</t>
  </si>
  <si>
    <t xml:space="preserve">Board feedback form</t>
  </si>
  <si>
    <t xml:space="preserve">Form response number</t>
  </si>
  <si>
    <t xml:space="preserve">Settings to confirm with IT</t>
  </si>
  <si>
    <t xml:space="preserve">•</t>
  </si>
  <si>
    <t xml:space="preserve">Who can respond: "Only people in my organization" works if board members have district accounts. If they don't, the form has to accept "Anyone with the link," so it can't confirm who sent each response; the Policy Administrator confirms the sender before logging.</t>
  </si>
  <si>
    <t xml:space="preserve">Where responses go: Forms keeps them in a linked Excel sheet. Copy new responses into Comments each week, or (with IT) set a Power Automate flow to add the rows.</t>
  </si>
  <si>
    <t xml:space="preserve">Word redlines stay the channel for line-by-line edits. The form is for everything else.</t>
  </si>
  <si>
    <t xml:space="preserve">Policy review workbook</t>
  </si>
  <si>
    <t xml:space="preserve">Independent sample built by Samantha Rubin from public records. Not a district document.</t>
  </si>
  <si>
    <t xml:space="preserve">Tracks the policies and regulations under review right now: where each one stands, which version is official, every comment and where it went, and edits saved for later.</t>
  </si>
  <si>
    <t xml:space="preserve">As of</t>
  </si>
  <si>
    <t xml:space="preserve">Record through</t>
  </si>
  <si>
    <t xml:space="preserve">The Oct 5, 2026 board meeting</t>
  </si>
  <si>
    <t xml:space="preserve">Next committee meeting</t>
  </si>
  <si>
    <t xml:space="preserve">Regulation target (days)</t>
  </si>
  <si>
    <t xml:space="preserve">Regulation target source</t>
  </si>
  <si>
    <t xml:space="preserve">30 days after adoption, the timing described at the Oct 5, 2026 board meeting; the stated goal is drafts with the policy. Policy BDC and Regulation BDC-R(1) set no deadline for regulations. The board may review a regulation before it takes effect.</t>
  </si>
  <si>
    <t xml:space="preserve">Sources</t>
  </si>
  <si>
    <t xml:space="preserve">Public recordings of the Board Policy Committee (Jun 25, Jul 30, Aug 26, Sep 24 and Oct 1, 2026) and the Oct 5, 2026 board meeting; policy and draft links from Simbli (retrieved Oct 8, 2026); Policy BDC and Regulation BDC-R(1).</t>
  </si>
  <si>
    <t xml:space="preserve">Shading</t>
  </si>
  <si>
    <t xml:space="preserve">Unshaded cells come from the public record or Simbli. Lavender cells are not from the public record: invented examples that show how the process would run, or proposals for staff to confirm. Every row says which in its source column.</t>
  </si>
  <si>
    <t xml:space="preserve">Summaries come from meeting recordings with automatic captions. Staff should confirm each status before relying on it.</t>
  </si>
  <si>
    <t xml:space="preserve">No names</t>
  </si>
  <si>
    <t xml:space="preserve">Rows name roles (board member, staff, public), never people.</t>
  </si>
  <si>
    <t xml:space="preserve">Header colors</t>
  </si>
  <si>
    <t xml:space="preserve">Dark headers are typed columns. Lighter headers are formulas; don't type in them.</t>
  </si>
  <si>
    <t xml:space="preserve">Stage colors</t>
  </si>
  <si>
    <t xml:space="preserve">Blue: on a board agenda (first read, second read, ready for action). Amber: the committee's move (back in committee, committee review). Gray: waiting (held, drafting, regulation work). Green: closed (adopted, withdrawn).</t>
  </si>
  <si>
    <t xml:space="preserve">Rose</t>
  </si>
  <si>
    <t xml:space="preserve">Needs attention: a date within 7 days or passed, an open comment, a saved edit ready to pick up, an incomplete packet check, or a code entered twice.</t>
  </si>
  <si>
    <t xml:space="preserve">Rows ready for entry: 250 in Drafts, 2,000 in Comments, 500 in Versions, 200 in Deferred edits. Closed rows stay as the record.</t>
  </si>
  <si>
    <t xml:space="preserve">Tabs</t>
  </si>
  <si>
    <t xml:space="preserve">One page for the committee packet: every open policy, its stage, last action, next step and open comments. Withdrawn policies leave it; adopted policies leave it once their regulation is complete or not needed.</t>
  </si>
  <si>
    <t xml:space="preserve">How to use</t>
  </si>
  <si>
    <t xml:space="preserve">Step-by-step instructions for each routine task.</t>
  </si>
  <si>
    <t xml:space="preserve">Pick a policy to see everything about it on one screen, in the layout the committee already uses.</t>
  </si>
  <si>
    <t xml:space="preserve">One row per policy or regulation under review. The only place stages and dates are typed.</t>
  </si>
  <si>
    <t xml:space="preserve">One row per comment from any channel, with its route and response.</t>
  </si>
  <si>
    <t xml:space="preserve">Every posted or working version. The newest frozen version is the official copy.</t>
  </si>
  <si>
    <t xml:space="preserve">Changes agreed for a later revision, flagged when that document reopens.</t>
  </si>
  <si>
    <t xml:space="preserve">Process</t>
  </si>
  <si>
    <t xml:space="preserve">The policy cycle flow: who does what at each stage, and what the tracker records at each hand-off.</t>
  </si>
  <si>
    <t xml:space="preserve">Comment flow</t>
  </si>
  <si>
    <t xml:space="preserve">Where comments come in and where each route sends them.</t>
  </si>
  <si>
    <t xml:space="preserve">The questions on the board and staff feedback form, and the Comments column each one fills.</t>
  </si>
  <si>
    <t xml:space="preserve">Lists</t>
  </si>
  <si>
    <t xml:space="preserve">Dropdown values.</t>
  </si>
  <si>
    <t xml:space="preserve">Ready for action</t>
  </si>
  <si>
    <t xml:space="preserve">Not needed</t>
  </si>
  <si>
    <t xml:space="preserve">Not started</t>
  </si>
  <si>
    <t xml:space="preserve">Committee review</t>
  </si>
  <si>
    <t xml:space="preserve">Staff or Legal review</t>
  </si>
  <si>
    <t xml:space="preserve">Complete</t>
  </si>
  <si>
    <t xml:space="preserve">Adopted</t>
  </si>
  <si>
    <t xml:space="preserve">Withdrawn</t>
  </si>
  <si>
    <t xml:space="preserve">Helper formulas for Status and Policy card. Do not edit.</t>
  </si>
</sst>
</file>

<file path=xl/styles.xml><?xml version="1.0" encoding="utf-8"?>
<styleSheet xmlns="http://schemas.openxmlformats.org/spreadsheetml/2006/main">
  <numFmts count="4">
    <numFmt numFmtId="164" formatCode="General"/>
    <numFmt numFmtId="165" formatCode="General"/>
    <numFmt numFmtId="166" formatCode="mmm\ d&quot;, &quot;yyyy"/>
    <numFmt numFmtId="167" formatCode="0;\-0;;@"/>
  </numFmts>
  <fonts count="33">
    <font>
      <sz val="11"/>
      <color theme="1"/>
      <name val="Calibri"/>
      <family val="2"/>
      <charset val="1"/>
    </font>
    <font>
      <sz val="10"/>
      <name val="Arial"/>
      <family val="0"/>
    </font>
    <font>
      <sz val="10"/>
      <name val="Arial"/>
      <family val="0"/>
    </font>
    <font>
      <sz val="10"/>
      <name val="Arial"/>
      <family val="0"/>
    </font>
    <font>
      <b val="true"/>
      <sz val="18"/>
      <color rgb="FF1F4E5A"/>
      <name val="Arial"/>
      <family val="0"/>
      <charset val="1"/>
    </font>
    <font>
      <sz val="10"/>
      <color rgb="FF44545A"/>
      <name val="Arial"/>
      <family val="0"/>
      <charset val="1"/>
    </font>
    <font>
      <sz val="9"/>
      <color rgb="FF44545A"/>
      <name val="Arial"/>
      <family val="0"/>
      <charset val="1"/>
    </font>
    <font>
      <b val="true"/>
      <sz val="20"/>
      <color rgb="FF1F4E5A"/>
      <name val="Arial"/>
      <family val="0"/>
      <charset val="1"/>
    </font>
    <font>
      <b val="true"/>
      <sz val="8"/>
      <color rgb="FF44545A"/>
      <name val="Arial"/>
      <family val="0"/>
      <charset val="1"/>
    </font>
    <font>
      <b val="true"/>
      <sz val="8"/>
      <color rgb="FF1F3F66"/>
      <name val="Arial"/>
      <family val="0"/>
      <charset val="1"/>
    </font>
    <font>
      <b val="true"/>
      <sz val="8"/>
      <color rgb="FF6E4500"/>
      <name val="Arial"/>
      <family val="0"/>
      <charset val="1"/>
    </font>
    <font>
      <b val="true"/>
      <sz val="8"/>
      <color rgb="FF3D474B"/>
      <name val="Arial"/>
      <family val="0"/>
      <charset val="1"/>
    </font>
    <font>
      <b val="true"/>
      <sz val="8"/>
      <color rgb="FF1E5A3A"/>
      <name val="Arial"/>
      <family val="0"/>
      <charset val="1"/>
    </font>
    <font>
      <b val="true"/>
      <sz val="8"/>
      <color rgb="FF8E2A22"/>
      <name val="Arial"/>
      <family val="0"/>
      <charset val="1"/>
    </font>
    <font>
      <b val="true"/>
      <sz val="9"/>
      <color rgb="FFFFFFFF"/>
      <name val="Arial"/>
      <family val="0"/>
      <charset val="1"/>
    </font>
    <font>
      <b val="true"/>
      <sz val="9"/>
      <name val="Arial"/>
      <family val="0"/>
      <charset val="1"/>
    </font>
    <font>
      <sz val="9"/>
      <name val="Arial"/>
      <family val="0"/>
      <charset val="1"/>
    </font>
    <font>
      <i val="true"/>
      <sz val="9"/>
      <color rgb="FF8E2A22"/>
      <name val="Arial"/>
      <family val="0"/>
      <charset val="1"/>
    </font>
    <font>
      <b val="true"/>
      <sz val="10"/>
      <color rgb="FF1F4E5A"/>
      <name val="Arial"/>
      <family val="0"/>
      <charset val="1"/>
    </font>
    <font>
      <i val="true"/>
      <sz val="9"/>
      <color rgb="FF44545A"/>
      <name val="Arial"/>
      <family val="0"/>
      <charset val="1"/>
    </font>
    <font>
      <b val="true"/>
      <sz val="10"/>
      <color rgb="FFFFFFFF"/>
      <name val="Arial"/>
      <family val="0"/>
      <charset val="1"/>
    </font>
    <font>
      <sz val="10"/>
      <name val="Arial"/>
      <family val="0"/>
      <charset val="1"/>
    </font>
    <font>
      <b val="true"/>
      <sz val="11"/>
      <name val="Arial"/>
      <family val="0"/>
      <charset val="1"/>
    </font>
    <font>
      <b val="true"/>
      <sz val="14"/>
      <color rgb="FF1F4E5A"/>
      <name val="Arial"/>
      <family val="0"/>
      <charset val="1"/>
    </font>
    <font>
      <i val="true"/>
      <sz val="9"/>
      <color rgb="FF5F6B70"/>
      <name val="Arial"/>
      <family val="0"/>
      <charset val="1"/>
    </font>
    <font>
      <b val="true"/>
      <sz val="9"/>
      <color rgb="FF44545A"/>
      <name val="Arial"/>
      <family val="0"/>
      <charset val="1"/>
    </font>
    <font>
      <b val="true"/>
      <sz val="11"/>
      <color rgb="FF1F4E5A"/>
      <name val="Arial"/>
      <family val="0"/>
      <charset val="1"/>
    </font>
    <font>
      <u val="single"/>
      <sz val="10"/>
      <color rgb="FF1F5FA0"/>
      <name val="Arial"/>
      <family val="0"/>
      <charset val="1"/>
    </font>
    <font>
      <sz val="10"/>
      <name val="Arial"/>
      <family val="2"/>
    </font>
    <font>
      <b val="true"/>
      <sz val="10"/>
      <name val="Arial"/>
      <family val="0"/>
      <charset val="1"/>
    </font>
    <font>
      <sz val="10"/>
      <color rgb="FF5F6B70"/>
      <name val="Arial"/>
      <family val="0"/>
      <charset val="1"/>
    </font>
    <font>
      <b val="true"/>
      <i val="true"/>
      <sz val="10"/>
      <color rgb="FF5F6B70"/>
      <name val="Arial"/>
      <family val="0"/>
      <charset val="1"/>
    </font>
    <font>
      <i val="true"/>
      <sz val="10"/>
      <color rgb="FF44545A"/>
      <name val="Arial"/>
      <family val="0"/>
      <charset val="1"/>
    </font>
  </fonts>
  <fills count="13">
    <fill>
      <patternFill patternType="none"/>
    </fill>
    <fill>
      <patternFill patternType="gray125"/>
    </fill>
    <fill>
      <patternFill patternType="solid">
        <fgColor rgb="FFF3F6F7"/>
        <bgColor rgb="FFFFFFFF"/>
      </patternFill>
    </fill>
    <fill>
      <patternFill patternType="solid">
        <fgColor rgb="FFDCE6F0"/>
        <bgColor rgb="FFE7E9EA"/>
      </patternFill>
    </fill>
    <fill>
      <patternFill patternType="solid">
        <fgColor rgb="FFFCEBCB"/>
        <bgColor rgb="FFF9DEDC"/>
      </patternFill>
    </fill>
    <fill>
      <patternFill patternType="solid">
        <fgColor rgb="FFE7E9EA"/>
        <bgColor rgb="FFECE6F4"/>
      </patternFill>
    </fill>
    <fill>
      <patternFill patternType="solid">
        <fgColor rgb="FFE3EFE9"/>
        <bgColor rgb="FFE7E9EA"/>
      </patternFill>
    </fill>
    <fill>
      <patternFill patternType="solid">
        <fgColor rgb="FFF9DEDC"/>
        <bgColor rgb="FFFCEBCB"/>
      </patternFill>
    </fill>
    <fill>
      <patternFill patternType="solid">
        <fgColor rgb="FF3E6E78"/>
        <bgColor rgb="FF5F6B70"/>
      </patternFill>
    </fill>
    <fill>
      <patternFill patternType="solid">
        <fgColor rgb="FF1F4E5A"/>
        <bgColor rgb="FF1F3F66"/>
      </patternFill>
    </fill>
    <fill>
      <patternFill patternType="solid">
        <fgColor rgb="FFFFFFFF"/>
        <bgColor rgb="FFF3F6F7"/>
      </patternFill>
    </fill>
    <fill>
      <patternFill patternType="solid">
        <fgColor rgb="FFECE6F4"/>
        <bgColor rgb="FFE7E9EA"/>
      </patternFill>
    </fill>
    <fill>
      <patternFill patternType="solid">
        <fgColor rgb="FF1C5CAB"/>
        <bgColor rgb="FF1F5FA0"/>
      </patternFill>
    </fill>
  </fills>
  <borders count="3">
    <border diagonalUp="false" diagonalDown="false">
      <left/>
      <right/>
      <top/>
      <bottom/>
      <diagonal/>
    </border>
    <border diagonalUp="false" diagonalDown="false">
      <left/>
      <right/>
      <top/>
      <bottom style="thin">
        <color rgb="FFBFC9CC"/>
      </bottom>
      <diagonal/>
    </border>
    <border diagonalUp="false" diagonalDown="false">
      <left style="medium">
        <color rgb="FF1F4E5A"/>
      </left>
      <right style="medium">
        <color rgb="FF1F4E5A"/>
      </right>
      <top style="medium">
        <color rgb="FF1F4E5A"/>
      </top>
      <bottom style="medium">
        <color rgb="FF1F4E5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6" fillId="2" borderId="0" xfId="0" applyFont="true" applyBorder="true" applyAlignment="true" applyProtection="false">
      <alignment horizontal="left" vertical="center" textRotation="0" wrapText="true" indent="1" shrinkToFit="false"/>
      <protection locked="true" hidden="false"/>
    </xf>
    <xf numFmtId="164" fontId="6" fillId="2" borderId="0" xfId="0" applyFont="true" applyBorder="false" applyAlignment="true" applyProtection="false">
      <alignment horizontal="left" vertical="center" textRotation="0" wrapText="true" indent="1" shrinkToFit="false"/>
      <protection locked="true" hidden="false"/>
    </xf>
    <xf numFmtId="165" fontId="7" fillId="2" borderId="0" xfId="0" applyFont="true" applyBorder="true" applyAlignment="true" applyProtection="false">
      <alignment horizontal="left" vertical="center" textRotation="0" wrapText="true" indent="1" shrinkToFit="false"/>
      <protection locked="true" hidden="false"/>
    </xf>
    <xf numFmtId="165" fontId="7" fillId="2" borderId="0" xfId="0" applyFont="true" applyBorder="false" applyAlignment="true" applyProtection="false">
      <alignment horizontal="left" vertical="center" textRotation="0" wrapText="true" indent="1"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xf numFmtId="164" fontId="9" fillId="3" borderId="0" xfId="0" applyFont="true" applyBorder="false" applyAlignment="true" applyProtection="false">
      <alignment horizontal="center" vertical="center" textRotation="0" wrapText="false" indent="0" shrinkToFit="false"/>
      <protection locked="true" hidden="false"/>
    </xf>
    <xf numFmtId="164" fontId="10" fillId="4" borderId="0" xfId="0" applyFont="true" applyBorder="false" applyAlignment="true" applyProtection="false">
      <alignment horizontal="center" vertical="center" textRotation="0" wrapText="false" indent="0" shrinkToFit="false"/>
      <protection locked="true" hidden="false"/>
    </xf>
    <xf numFmtId="164" fontId="11" fillId="5" borderId="0" xfId="0" applyFont="true" applyBorder="false" applyAlignment="true" applyProtection="false">
      <alignment horizontal="center" vertical="center" textRotation="0" wrapText="false" indent="0" shrinkToFit="false"/>
      <protection locked="true" hidden="false"/>
    </xf>
    <xf numFmtId="164" fontId="12" fillId="6" borderId="0" xfId="0" applyFont="true" applyBorder="false" applyAlignment="true" applyProtection="false">
      <alignment horizontal="center" vertical="center" textRotation="0" wrapText="false" indent="0" shrinkToFit="false"/>
      <protection locked="true" hidden="false"/>
    </xf>
    <xf numFmtId="164" fontId="13" fillId="7" borderId="0" xfId="0" applyFont="true" applyBorder="true" applyAlignment="true" applyProtection="false">
      <alignment horizontal="center" vertical="center" textRotation="0" wrapText="false" indent="0" shrinkToFit="false"/>
      <protection locked="true" hidden="false"/>
    </xf>
    <xf numFmtId="164" fontId="14" fillId="8" borderId="0" xfId="0" applyFont="true" applyBorder="false" applyAlignment="true" applyProtection="false">
      <alignment horizontal="general" vertical="center" textRotation="0" wrapText="true" indent="0" shrinkToFit="false"/>
      <protection locked="true" hidden="false"/>
    </xf>
    <xf numFmtId="165" fontId="15" fillId="0" borderId="1" xfId="0" applyFont="true" applyBorder="true" applyAlignment="true" applyProtection="false">
      <alignment horizontal="left" vertical="top" textRotation="0" wrapText="true" indent="0" shrinkToFit="false"/>
      <protection locked="true" hidden="false"/>
    </xf>
    <xf numFmtId="165" fontId="16" fillId="0" borderId="1" xfId="0" applyFont="true" applyBorder="true" applyAlignment="true" applyProtection="false">
      <alignment horizontal="left" vertical="top" textRotation="0" wrapText="true" indent="0" shrinkToFit="false"/>
      <protection locked="true" hidden="false"/>
    </xf>
    <xf numFmtId="166" fontId="16" fillId="0" borderId="1" xfId="0" applyFont="true" applyBorder="true" applyAlignment="true" applyProtection="false">
      <alignment horizontal="left" vertical="top" textRotation="0" wrapText="true" indent="0" shrinkToFit="false"/>
      <protection locked="true" hidden="false"/>
    </xf>
    <xf numFmtId="165" fontId="16" fillId="0" borderId="1" xfId="0" applyFont="true" applyBorder="true" applyAlignment="true" applyProtection="false">
      <alignment horizontal="center" vertical="top" textRotation="0" wrapText="true" indent="0" shrinkToFit="false"/>
      <protection locked="true" hidden="false"/>
    </xf>
    <xf numFmtId="164" fontId="17" fillId="0" borderId="0" xfId="0" applyFont="true" applyBorder="true" applyAlignment="true" applyProtection="false">
      <alignment horizontal="general" vertical="center" textRotation="0" wrapText="true" indent="0" shrinkToFit="false"/>
      <protection locked="true" hidden="false"/>
    </xf>
    <xf numFmtId="164" fontId="18" fillId="0" borderId="0" xfId="0" applyFont="true" applyBorder="true" applyAlignment="true" applyProtection="false">
      <alignment horizontal="general" vertical="center" textRotation="0" wrapText="true" indent="0" shrinkToFit="false"/>
      <protection locked="true" hidden="false"/>
    </xf>
    <xf numFmtId="164" fontId="14" fillId="8" borderId="0" xfId="0" applyFont="true" applyBorder="true" applyAlignment="true" applyProtection="false">
      <alignment horizontal="general" vertical="center" textRotation="0" wrapText="true" indent="0" shrinkToFit="false"/>
      <protection locked="true" hidden="false"/>
    </xf>
    <xf numFmtId="165" fontId="16" fillId="0" borderId="1" xfId="0" applyFont="true" applyBorder="true" applyAlignment="true" applyProtection="false">
      <alignment horizontal="general" vertical="top" textRotation="0" wrapText="true" indent="0" shrinkToFit="false"/>
      <protection locked="true" hidden="false"/>
    </xf>
    <xf numFmtId="166" fontId="16" fillId="0" borderId="1" xfId="0" applyFont="true" applyBorder="true" applyAlignment="true" applyProtection="false">
      <alignment horizontal="general" vertical="top" textRotation="0" wrapText="true" indent="0" shrinkToFit="false"/>
      <protection locked="true" hidden="false"/>
    </xf>
    <xf numFmtId="164" fontId="19" fillId="0" borderId="0" xfId="0" applyFont="true" applyBorder="true" applyAlignment="true" applyProtection="false">
      <alignment horizontal="general" vertical="center" textRotation="0" wrapText="true" indent="0" shrinkToFit="false"/>
      <protection locked="true" hidden="false"/>
    </xf>
    <xf numFmtId="164" fontId="20" fillId="9" borderId="0" xfId="0" applyFont="true" applyBorder="false" applyAlignment="true" applyProtection="false">
      <alignment horizontal="general" vertical="center" textRotation="0" wrapText="fals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21" fillId="0" borderId="1" xfId="0" applyFont="true" applyBorder="true" applyAlignment="true" applyProtection="false">
      <alignment horizontal="general" vertical="top" textRotation="0" wrapText="true" indent="0" shrinkToFit="false"/>
      <protection locked="true" hidden="false"/>
    </xf>
    <xf numFmtId="164" fontId="18" fillId="2" borderId="1" xfId="0" applyFont="true" applyBorder="true" applyAlignment="true" applyProtection="false">
      <alignment horizontal="general" vertical="top" textRotation="0" wrapText="true" indent="0" shrinkToFit="false"/>
      <protection locked="true" hidden="false"/>
    </xf>
    <xf numFmtId="164" fontId="5" fillId="2" borderId="1" xfId="0" applyFont="true" applyBorder="true" applyAlignment="true" applyProtection="false">
      <alignment horizontal="general" vertical="top" textRotation="0" wrapText="true" indent="0" shrinkToFit="false"/>
      <protection locked="true" hidden="false"/>
    </xf>
    <xf numFmtId="164" fontId="21" fillId="2" borderId="1"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22" fillId="0" borderId="0" xfId="0" applyFont="true" applyBorder="false" applyAlignment="true" applyProtection="false">
      <alignment horizontal="general" vertical="center" textRotation="0" wrapText="true" indent="0" shrinkToFit="false"/>
      <protection locked="true" hidden="false"/>
    </xf>
    <xf numFmtId="164" fontId="23" fillId="10" borderId="2" xfId="0" applyFont="true" applyBorder="true" applyAlignment="true" applyProtection="false">
      <alignment horizontal="center" vertical="center" textRotation="0" wrapText="false" indent="0" shrinkToFit="false"/>
      <protection locked="true" hidden="false"/>
    </xf>
    <xf numFmtId="164" fontId="24" fillId="0" borderId="0" xfId="0" applyFont="true" applyBorder="false" applyAlignment="true" applyProtection="false">
      <alignment horizontal="general" vertical="center" textRotation="0" wrapText="true" indent="0" shrinkToFit="false"/>
      <protection locked="true" hidden="false"/>
    </xf>
    <xf numFmtId="164" fontId="25" fillId="2" borderId="0" xfId="0" applyFont="true" applyBorder="false" applyAlignment="true" applyProtection="false">
      <alignment horizontal="general" vertical="center" textRotation="0" wrapText="true" indent="0" shrinkToFit="false"/>
      <protection locked="true" hidden="false"/>
    </xf>
    <xf numFmtId="165" fontId="21" fillId="0" borderId="0" xfId="0" applyFont="true" applyBorder="true" applyAlignment="true" applyProtection="false">
      <alignment horizontal="general" vertical="center" textRotation="0" wrapText="true" indent="1" shrinkToFit="false"/>
      <protection locked="true" hidden="false"/>
    </xf>
    <xf numFmtId="165" fontId="21" fillId="0" borderId="0" xfId="0" applyFont="true" applyBorder="true" applyAlignment="true" applyProtection="false">
      <alignment horizontal="left" vertical="center" textRotation="0" wrapText="true" indent="1" shrinkToFit="false"/>
      <protection locked="true" hidden="false"/>
    </xf>
    <xf numFmtId="166" fontId="21" fillId="0" borderId="0" xfId="0" applyFont="true" applyBorder="true" applyAlignment="true" applyProtection="false">
      <alignment horizontal="left" vertical="center" textRotation="0" wrapText="true" indent="1" shrinkToFit="false"/>
      <protection locked="true" hidden="false"/>
    </xf>
    <xf numFmtId="164" fontId="21" fillId="0" borderId="0" xfId="0" applyFont="true" applyBorder="true" applyAlignment="true" applyProtection="false">
      <alignment horizontal="general" vertical="center" textRotation="0" wrapText="false" indent="1" shrinkToFit="false"/>
      <protection locked="true" hidden="false"/>
    </xf>
    <xf numFmtId="164" fontId="26" fillId="0" borderId="0" xfId="0" applyFont="true" applyBorder="true" applyAlignment="true" applyProtection="false">
      <alignment horizontal="general" vertical="center" textRotation="0" wrapText="true" indent="0" shrinkToFit="false"/>
      <protection locked="true" hidden="false"/>
    </xf>
    <xf numFmtId="164" fontId="14" fillId="8" borderId="0" xfId="0" applyFont="true" applyBorder="false" applyAlignment="false" applyProtection="false">
      <alignment horizontal="general" vertical="bottom" textRotation="0" wrapText="false" indent="0" shrinkToFit="false"/>
      <protection locked="true" hidden="false"/>
    </xf>
    <xf numFmtId="164" fontId="14" fillId="8" borderId="0" xfId="0" applyFont="true" applyBorder="true" applyAlignment="false" applyProtection="false">
      <alignment horizontal="general" vertical="bottom" textRotation="0" wrapText="false" indent="0" shrinkToFit="false"/>
      <protection locked="true" hidden="false"/>
    </xf>
    <xf numFmtId="165" fontId="15" fillId="0" borderId="1" xfId="0" applyFont="true" applyBorder="true" applyAlignment="true" applyProtection="false">
      <alignment horizontal="general" vertical="top" textRotation="0" wrapText="false" indent="0" shrinkToFit="false"/>
      <protection locked="true" hidden="false"/>
    </xf>
    <xf numFmtId="164" fontId="20" fillId="9" borderId="0" xfId="0" applyFont="true" applyBorder="false" applyAlignment="true" applyProtection="false">
      <alignment horizontal="general" vertical="center" textRotation="0" wrapText="true" indent="0" shrinkToFit="false"/>
      <protection locked="true" hidden="false"/>
    </xf>
    <xf numFmtId="164" fontId="20" fillId="8" borderId="0" xfId="0" applyFont="true" applyBorder="false" applyAlignment="true" applyProtection="false">
      <alignment horizontal="general" vertical="center" textRotation="0" wrapText="true" indent="0" shrinkToFit="false"/>
      <protection locked="true" hidden="false"/>
    </xf>
    <xf numFmtId="164" fontId="21" fillId="0" borderId="0" xfId="0" applyFont="true" applyBorder="false" applyAlignment="true" applyProtection="false">
      <alignment horizontal="general" vertical="top" textRotation="0" wrapText="true" indent="0" shrinkToFit="false"/>
      <protection locked="true" hidden="false"/>
    </xf>
    <xf numFmtId="166" fontId="21" fillId="0" borderId="0" xfId="0" applyFont="true" applyBorder="false" applyAlignment="true" applyProtection="false">
      <alignment horizontal="general" vertical="top" textRotation="0" wrapText="true" indent="0" shrinkToFit="false"/>
      <protection locked="true" hidden="false"/>
    </xf>
    <xf numFmtId="164" fontId="27" fillId="0" borderId="0" xfId="0" applyFont="true" applyBorder="false" applyAlignment="true" applyProtection="false">
      <alignment horizontal="general" vertical="top" textRotation="0" wrapText="true" indent="0" shrinkToFit="false"/>
      <protection locked="true" hidden="false"/>
    </xf>
    <xf numFmtId="167" fontId="21" fillId="0" borderId="0" xfId="0" applyFont="true" applyBorder="false" applyAlignment="true" applyProtection="false">
      <alignment horizontal="general" vertical="top" textRotation="0" wrapText="true" indent="0" shrinkToFit="false"/>
      <protection locked="true" hidden="false"/>
    </xf>
    <xf numFmtId="164" fontId="21" fillId="11" borderId="0" xfId="0" applyFont="true" applyBorder="false" applyAlignment="true" applyProtection="false">
      <alignment horizontal="general" vertical="top" textRotation="0" wrapText="true" indent="0" shrinkToFit="false"/>
      <protection locked="true" hidden="false"/>
    </xf>
    <xf numFmtId="167" fontId="21" fillId="11" borderId="0" xfId="0" applyFont="true" applyBorder="false" applyAlignment="true" applyProtection="false">
      <alignment horizontal="general" vertical="top" textRotation="0" wrapText="true" indent="0" shrinkToFit="false"/>
      <protection locked="true" hidden="false"/>
    </xf>
    <xf numFmtId="166" fontId="21" fillId="11" borderId="0" xfId="0" applyFont="true" applyBorder="false" applyAlignment="true" applyProtection="false">
      <alignment horizontal="general" vertical="top" textRotation="0" wrapText="true" indent="0" shrinkToFit="false"/>
      <protection locked="true" hidden="false"/>
    </xf>
    <xf numFmtId="164" fontId="20" fillId="9" borderId="0" xfId="0" applyFont="true" applyBorder="false" applyAlignment="false" applyProtection="false">
      <alignment horizontal="general" vertical="bottom" textRotation="0" wrapText="false" indent="0" shrinkToFit="false"/>
      <protection locked="true" hidden="false"/>
    </xf>
    <xf numFmtId="164" fontId="20" fillId="12" borderId="1" xfId="0" applyFont="true" applyBorder="true" applyAlignment="true" applyProtection="false">
      <alignment horizontal="center" vertical="top" textRotation="0" wrapText="true" indent="0" shrinkToFit="false"/>
      <protection locked="true" hidden="false"/>
    </xf>
    <xf numFmtId="164" fontId="29" fillId="0" borderId="1" xfId="0" applyFont="true" applyBorder="true" applyAlignment="true" applyProtection="false">
      <alignment horizontal="left" vertical="top" textRotation="0" wrapText="tru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29" fillId="0" borderId="0" xfId="0" applyFont="true" applyBorder="false" applyAlignment="true" applyProtection="false">
      <alignment horizontal="general" vertical="top" textRotation="0" wrapText="true" indent="0" shrinkToFit="false"/>
      <protection locked="true" hidden="false"/>
    </xf>
    <xf numFmtId="165" fontId="21" fillId="0" borderId="0" xfId="0" applyFont="true" applyBorder="false" applyAlignment="false" applyProtection="false">
      <alignment horizontal="general" vertical="bottom" textRotation="0" wrapText="false" indent="0" shrinkToFit="false"/>
      <protection locked="true" hidden="false"/>
    </xf>
    <xf numFmtId="164" fontId="29" fillId="0" borderId="1" xfId="0" applyFont="true" applyBorder="true" applyAlignment="true" applyProtection="false">
      <alignment horizontal="general" vertical="top" textRotation="0" wrapText="true" indent="0" shrinkToFit="false"/>
      <protection locked="true" hidden="false"/>
    </xf>
    <xf numFmtId="164" fontId="30" fillId="0" borderId="1" xfId="0" applyFont="true" applyBorder="true" applyAlignment="true" applyProtection="false">
      <alignment horizontal="general" vertical="top" textRotation="0" wrapText="true" indent="0" shrinkToFit="false"/>
      <protection locked="true" hidden="false"/>
    </xf>
    <xf numFmtId="164" fontId="31" fillId="0" borderId="1" xfId="0" applyFont="true" applyBorder="true" applyAlignment="true" applyProtection="false">
      <alignment horizontal="general" vertical="top" textRotation="0" wrapText="true" indent="0" shrinkToFit="false"/>
      <protection locked="true" hidden="false"/>
    </xf>
    <xf numFmtId="164" fontId="21" fillId="0" borderId="0" xfId="0" applyFont="true" applyBorder="false" applyAlignment="true" applyProtection="false">
      <alignment horizontal="right" vertical="top" textRotation="0" wrapText="false" indent="0" shrinkToFit="false"/>
      <protection locked="true" hidden="false"/>
    </xf>
    <xf numFmtId="164" fontId="21" fillId="0" borderId="0" xfId="0" applyFont="true" applyBorder="true" applyAlignment="true" applyProtection="false">
      <alignment horizontal="general" vertical="top" textRotation="0" wrapText="tru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32" fillId="0" borderId="0" xfId="0" applyFont="true" applyBorder="false" applyAlignment="true" applyProtection="false">
      <alignment horizontal="general" vertical="center"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6" fontId="21" fillId="0" borderId="0" xfId="0" applyFont="true" applyBorder="false" applyAlignment="true" applyProtection="false">
      <alignment horizontal="left" vertical="bottom" textRotation="0" wrapText="false" indent="0" shrinkToFit="false"/>
      <protection locked="true" hidden="false"/>
    </xf>
    <xf numFmtId="164" fontId="21"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4">
    <dxf>
      <font>
        <name val="Arial"/>
        <charset val="1"/>
        <family val="0"/>
        <b val="1"/>
        <color rgb="FF1F3F66"/>
      </font>
      <fill>
        <patternFill>
          <bgColor rgb="FFDCE6F0"/>
        </patternFill>
      </fill>
    </dxf>
    <dxf>
      <font>
        <name val="Arial"/>
        <charset val="1"/>
        <family val="0"/>
        <b val="1"/>
        <color rgb="FF6E4500"/>
      </font>
      <fill>
        <patternFill>
          <bgColor rgb="FFFCEBCB"/>
        </patternFill>
      </fill>
    </dxf>
    <dxf>
      <font>
        <name val="Arial"/>
        <charset val="1"/>
        <family val="0"/>
        <b val="1"/>
        <color rgb="FF3D474B"/>
      </font>
      <fill>
        <patternFill>
          <bgColor rgb="FFE7E9EA"/>
        </patternFill>
      </fill>
    </dxf>
    <dxf>
      <font>
        <name val="Arial"/>
        <charset val="1"/>
        <family val="0"/>
        <b val="1"/>
        <color rgb="FF1E5A3A"/>
      </font>
      <fill>
        <patternFill>
          <bgColor rgb="FFE3EFE9"/>
        </patternFill>
      </fill>
    </dxf>
    <dxf>
      <font>
        <name val="Arial"/>
        <charset val="1"/>
        <family val="0"/>
        <b val="1"/>
        <color rgb="FF8E2A22"/>
      </font>
      <fill>
        <patternFill>
          <bgColor rgb="FFF9DEDC"/>
        </patternFill>
      </fill>
    </dxf>
    <dxf>
      <font>
        <name val="Arial"/>
        <charset val="1"/>
        <family val="0"/>
        <color rgb="FF1F5FA0"/>
        <u val="single"/>
      </font>
    </dxf>
    <dxf>
      <font>
        <name val="Arial"/>
        <charset val="1"/>
        <family val="0"/>
        <color rgb="FF6E4500"/>
      </font>
      <fill>
        <patternFill>
          <bgColor rgb="FFFCEBCB"/>
        </patternFill>
      </fill>
    </dxf>
    <dxf>
      <font>
        <name val="Arial"/>
        <charset val="1"/>
        <family val="0"/>
        <color rgb="FF8E2A22"/>
      </font>
      <fill>
        <patternFill>
          <bgColor rgb="FFF9DEDC"/>
        </patternFill>
      </fill>
    </dxf>
    <dxf>
      <font>
        <name val="Arial"/>
        <charset val="1"/>
        <family val="0"/>
        <color rgb="FF1E5A3A"/>
      </font>
      <fill>
        <patternFill>
          <bgColor rgb="FFE3EFE9"/>
        </patternFill>
      </fill>
    </dxf>
    <dxf>
      <font>
        <name val="Arial"/>
        <charset val="1"/>
        <family val="0"/>
        <color rgb="FF3D474B"/>
      </font>
      <fill>
        <patternFill>
          <bgColor rgb="FFE7E9EA"/>
        </patternFill>
      </fill>
    </dxf>
    <dxf>
      <fill>
        <patternFill patternType="solid">
          <fgColor rgb="FF1F4E5A"/>
          <bgColor rgb="FF000000"/>
        </patternFill>
      </fill>
    </dxf>
    <dxf>
      <fill>
        <patternFill patternType="solid">
          <bgColor rgb="FF000000"/>
        </patternFill>
      </fill>
    </dxf>
    <dxf>
      <fill>
        <patternFill patternType="solid">
          <fgColor rgb="FFFFFFFF"/>
          <bgColor rgb="FF000000"/>
        </patternFill>
      </fill>
    </dxf>
    <dxf>
      <fill>
        <patternFill patternType="solid">
          <fgColor rgb="FFDCE6F0"/>
          <bgColor rgb="FF000000"/>
        </patternFill>
      </fill>
    </dxf>
    <dxf>
      <fill>
        <patternFill patternType="solid">
          <fgColor rgb="FFE7E9EA"/>
          <bgColor rgb="FF000000"/>
        </patternFill>
      </fill>
    </dxf>
    <dxf>
      <fill>
        <patternFill patternType="solid">
          <fgColor rgb="FFFCEBCB"/>
          <bgColor rgb="FF000000"/>
        </patternFill>
      </fill>
    </dxf>
    <dxf>
      <fill>
        <patternFill patternType="solid">
          <fgColor rgb="FF1F3F66"/>
          <bgColor rgb="FF000000"/>
        </patternFill>
      </fill>
    </dxf>
    <dxf>
      <fill>
        <patternFill patternType="solid">
          <fgColor rgb="FF3D474B"/>
          <bgColor rgb="FF000000"/>
        </patternFill>
      </fill>
    </dxf>
    <dxf>
      <fill>
        <patternFill patternType="solid">
          <fgColor rgb="FF6E4500"/>
          <bgColor rgb="FF000000"/>
        </patternFill>
      </fill>
    </dxf>
    <dxf>
      <fill>
        <patternFill patternType="solid">
          <fgColor rgb="FFF9DEDC"/>
          <bgColor rgb="FF000000"/>
        </patternFill>
      </fill>
    </dxf>
    <dxf>
      <fill>
        <patternFill patternType="solid">
          <fgColor rgb="FF8E2A22"/>
          <bgColor rgb="FF000000"/>
        </patternFill>
      </fill>
    </dxf>
    <dxf>
      <fill>
        <patternFill patternType="solid">
          <fgColor rgb="FF3E6E78"/>
          <bgColor rgb="FF000000"/>
        </patternFill>
      </fill>
    </dxf>
    <dxf>
      <fill>
        <patternFill patternType="solid">
          <fgColor rgb="FF1F5FA0"/>
          <bgColor rgb="FF000000"/>
        </patternFill>
      </fill>
    </dxf>
    <dxf>
      <fill>
        <patternFill patternType="solid">
          <fgColor rgb="FFECE6F4"/>
          <bgColor rgb="FF000000"/>
        </patternFill>
      </fill>
    </dxf>
  </dxfs>
  <colors>
    <indexedColors>
      <rgbColor rgb="FF000000"/>
      <rgbColor rgb="FFFFFFFF"/>
      <rgbColor rgb="FFFF0000"/>
      <rgbColor rgb="FF00FF00"/>
      <rgbColor rgb="FF0000FF"/>
      <rgbColor rgb="FFFFFF00"/>
      <rgbColor rgb="FFFF00FF"/>
      <rgbColor rgb="FF00FFFF"/>
      <rgbColor rgb="FF800000"/>
      <rgbColor rgb="FF1E5A3A"/>
      <rgbColor rgb="FF000080"/>
      <rgbColor rgb="FF808000"/>
      <rgbColor rgb="FF800080"/>
      <rgbColor rgb="FF1F5FA0"/>
      <rgbColor rgb="FFBFC9CC"/>
      <rgbColor rgb="FF44545A"/>
      <rgbColor rgb="FF9999FF"/>
      <rgbColor rgb="FF993366"/>
      <rgbColor rgb="FFFCEBCB"/>
      <rgbColor rgb="FFE3EFE9"/>
      <rgbColor rgb="FF660066"/>
      <rgbColor rgb="FFFF8080"/>
      <rgbColor rgb="FF1C5CAB"/>
      <rgbColor rgb="FFECE6F4"/>
      <rgbColor rgb="FF000080"/>
      <rgbColor rgb="FFFF00FF"/>
      <rgbColor rgb="FFFFFF00"/>
      <rgbColor rgb="FF00FFFF"/>
      <rgbColor rgb="FF800080"/>
      <rgbColor rgb="FF800000"/>
      <rgbColor rgb="FF008080"/>
      <rgbColor rgb="FF0000FF"/>
      <rgbColor rgb="FF00CCFF"/>
      <rgbColor rgb="FFDCE6F0"/>
      <rgbColor rgb="FFE7E9EA"/>
      <rgbColor rgb="FFF3F6F7"/>
      <rgbColor rgb="FF99CCFF"/>
      <rgbColor rgb="FFFF99CC"/>
      <rgbColor rgb="FFCC99FF"/>
      <rgbColor rgb="FFF9DEDC"/>
      <rgbColor rgb="FF3366FF"/>
      <rgbColor rgb="FF33CCCC"/>
      <rgbColor rgb="FF99CC00"/>
      <rgbColor rgb="FFFFCC00"/>
      <rgbColor rgb="FFFF9900"/>
      <rgbColor rgb="FFFF6600"/>
      <rgbColor rgb="FF5F6B70"/>
      <rgbColor rgb="FF969696"/>
      <rgbColor rgb="FF1F3F66"/>
      <rgbColor rgb="FF3E6E78"/>
      <rgbColor rgb="FF003300"/>
      <rgbColor rgb="FF6E4500"/>
      <rgbColor rgb="FF8E2A22"/>
      <rgbColor rgb="FF993366"/>
      <rgbColor rgb="FF1F4E5A"/>
      <rgbColor rgb="FF3D474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12</xdr:row>
      <xdr:rowOff>0</xdr:rowOff>
    </xdr:from>
    <xdr:to>
      <xdr:col>6</xdr:col>
      <xdr:colOff>254880</xdr:colOff>
      <xdr:row>61</xdr:row>
      <xdr:rowOff>85320</xdr:rowOff>
    </xdr:to>
    <xdr:pic>
      <xdr:nvPicPr>
        <xdr:cNvPr id="0" name="Image 1" descr="Picture"/>
        <xdr:cNvPicPr/>
      </xdr:nvPicPr>
      <xdr:blipFill>
        <a:blip r:embed="rId1"/>
        <a:stretch/>
      </xdr:blipFill>
      <xdr:spPr>
        <a:xfrm>
          <a:off x="0" y="3648240"/>
          <a:ext cx="12191760" cy="94197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6</xdr:col>
      <xdr:colOff>302760</xdr:colOff>
      <xdr:row>34</xdr:row>
      <xdr:rowOff>75600</xdr:rowOff>
    </xdr:to>
    <xdr:pic>
      <xdr:nvPicPr>
        <xdr:cNvPr id="1" name="Image 1" descr="Picture"/>
        <xdr:cNvPicPr/>
      </xdr:nvPicPr>
      <xdr:blipFill>
        <a:blip r:embed="rId1"/>
        <a:stretch/>
      </xdr:blipFill>
      <xdr:spPr>
        <a:xfrm>
          <a:off x="0" y="0"/>
          <a:ext cx="12191760" cy="6552720"/>
        </a:xfrm>
        <a:prstGeom prst="rect">
          <a:avLst/>
        </a:prstGeom>
        <a:ln w="0">
          <a:noFill/>
        </a:ln>
      </xdr:spPr>
    </xdr:pic>
    <xdr:clientData/>
  </xdr:twoCellAnchor>
</xdr:wsDr>
</file>

<file path=xl/tables/table1.xml><?xml version="1.0" encoding="utf-8"?>
<table xmlns="http://schemas.openxmlformats.org/spreadsheetml/2006/main" id="1" name="tblComments" displayName="tblComments" ref="A1:P2001" headerRowCount="1" totalsRowCount="0" totalsRowShown="0">
  <autoFilter ref="A1:P2001"/>
  <tableColumns count="16">
    <tableColumn id="1" name="comment_id"/>
    <tableColumn id="2" name="code"/>
    <tableColumn id="3" name="date_logged"/>
    <tableColumn id="4" name="from"/>
    <tableColumn id="5" name="channel"/>
    <tableColumn id="6" name="version_read"/>
    <tableColumn id="7" name="section"/>
    <tableColumn id="8" name="comment"/>
    <tableColumn id="9" name="route"/>
    <tableColumn id="10" name="response"/>
    <tableColumn id="11" name="responding_office"/>
    <tableColumn id="12" name="date_resolved"/>
    <tableColumn id="13" name="goes_to"/>
    <tableColumn id="14" name="status"/>
    <tableColumn id="15" name="source"/>
    <tableColumn id="16" name="deferred_check"/>
  </tableColumns>
</table>
</file>

<file path=xl/tables/table2.xml><?xml version="1.0" encoding="utf-8"?>
<table xmlns="http://schemas.openxmlformats.org/spreadsheetml/2006/main" id="2" name="tblDeferred" displayName="tblDeferred" ref="A1:K201" headerRowCount="1" totalsRowCount="0" totalsRowShown="0">
  <autoFilter ref="A1:K201"/>
  <tableColumns count="11">
    <tableColumn id="1" name="deferred_id"/>
    <tableColumn id="2" name="raised_in"/>
    <tableColumn id="3" name="to_code"/>
    <tableColumn id="4" name="edit"/>
    <tableColumn id="5" name="agreed_on"/>
    <tableColumn id="6" name="pick_up"/>
    <tableColumn id="7" name="status"/>
    <tableColumn id="8" name="to_code_in_review"/>
    <tableColumn id="9" name="alert"/>
    <tableColumn id="10" name="source"/>
    <tableColumn id="11" name="from_comment"/>
  </tableColumns>
</table>
</file>

<file path=xl/tables/table3.xml><?xml version="1.0" encoding="utf-8"?>
<table xmlns="http://schemas.openxmlformats.org/spreadsheetml/2006/main" id="3" name="tblDrafts" displayName="tblDrafts" ref="A1:X251" headerRowCount="1" totalsRowCount="0" totalsRowShown="0">
  <autoFilter ref="A1:X251"/>
  <tableColumns count="24">
    <tableColumn id="1" name="code"/>
    <tableColumn id="2" name="title"/>
    <tableColumn id="3" name="type"/>
    <tableColumn id="4" name="content_owner"/>
    <tableColumn id="5" name="stage"/>
    <tableColumn id="6" name="last_action"/>
    <tableColumn id="7" name="last_action_date"/>
    <tableColumn id="8" name="next_step"/>
    <tableColumn id="9" name="next_date"/>
    <tableColumn id="10" name="whats_changing"/>
    <tableColumn id="11" name="current_link"/>
    <tableColumn id="12" name="posted_draft_link"/>
    <tableColumn id="13" name="regulation"/>
    <tableColumn id="14" name="regulation_status"/>
    <tableColumn id="15" name="action_date"/>
    <tableColumn id="16" name="regulation_due"/>
    <tableColumn id="17" name="official_version"/>
    <tableColumn id="18" name="comments"/>
    <tableColumn id="19" name="open_comments"/>
    <tableColumn id="20" name="saved_edits"/>
    <tableColumn id="21" name="flag"/>
    <tableColumn id="22" name="source"/>
    <tableColumn id="23" name="current_url"/>
    <tableColumn id="24" name="draft_url"/>
  </tableColumns>
</table>
</file>

<file path=xl/tables/table4.xml><?xml version="1.0" encoding="utf-8"?>
<table xmlns="http://schemas.openxmlformats.org/spreadsheetml/2006/main" id="4" name="tblVersions" displayName="tblVersions" ref="A1:P501" headerRowCount="1" totalsRowCount="0" totalsRowShown="0">
  <autoFilter ref="A1:P501"/>
  <tableColumns count="16">
    <tableColumn id="1" name="version_id"/>
    <tableColumn id="2" name="code"/>
    <tableColumn id="3" name="version_no"/>
    <tableColumn id="4" name="version_date"/>
    <tableColumn id="5" name="purpose"/>
    <tableColumn id="6" name="home"/>
    <tableColumn id="7" name="link"/>
    <tableColumn id="8" name="frozen"/>
    <tableColumn id="9" name="what_changed"/>
    <tableColumn id="10" name="edits_in"/>
    <tableColumn id="11" name="related_checked"/>
    <tableColumn id="12" name="dates_checked"/>
    <tableColumn id="13" name="official"/>
    <tableColumn id="14" name="packet_check"/>
    <tableColumn id="15" name="in_shared_space"/>
    <tableColumn id="16" name="source"/>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1.vml"/><Relationship Id="rId3" Type="http://schemas.openxmlformats.org/officeDocument/2006/relationships/table" Target="../tables/table3.x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2.vml"/><Relationship Id="rId3" Type="http://schemas.openxmlformats.org/officeDocument/2006/relationships/table" Target="../tables/table1.x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hyperlink" Target="https://simbli.eboardsolutions.com/Policy/ViewPolicy.aspx?S=4054&amp;revid=EVcNNgzCCvQaTXsZyQH8dw==" TargetMode="External"/><Relationship Id="rId3" Type="http://schemas.openxmlformats.org/officeDocument/2006/relationships/hyperlink" Target="https://simbli.eboardsolutions.com/Policy/ViewPolicy.aspx?S=4054&amp;revid=FupPPql4Q4NTplusoqslshqlGy5g==" TargetMode="External"/><Relationship Id="rId4" Type="http://schemas.openxmlformats.org/officeDocument/2006/relationships/hyperlink" Target="https://simbli.eboardsolutions.com/Policy/ViewPolicy.aspx?S=4054&amp;revid=t2liMYmYJqH0ai2plusKo5oplusA==" TargetMode="External"/><Relationship Id="rId5" Type="http://schemas.openxmlformats.org/officeDocument/2006/relationships/hyperlink" Target="https://simbli.eboardsolutions.com/Policy/ViewPolicy.aspx?S=4054&amp;revid=nvgTxPXZlDRvplusXc31BnTXg==" TargetMode="External"/><Relationship Id="rId6" Type="http://schemas.openxmlformats.org/officeDocument/2006/relationships/hyperlink" Target="https://simbli.eboardsolutions.com/Policy/ViewPolicy.aspx?S=4054&amp;revid=nCtYhCWxvVL2EKdoeFhdVg==" TargetMode="External"/><Relationship Id="rId7" Type="http://schemas.openxmlformats.org/officeDocument/2006/relationships/hyperlink" Target="https://simbli.eboardsolutions.com/Policy/ViewPolicy.aspx?S=4054&amp;revid=V4yb8EtMkypOQhz767mqcA==" TargetMode="External"/><Relationship Id="rId8" Type="http://schemas.openxmlformats.org/officeDocument/2006/relationships/vmlDrawing" Target="../drawings/vmlDrawing3.vml"/><Relationship Id="rId9" Type="http://schemas.openxmlformats.org/officeDocument/2006/relationships/table" Target="../tables/table4.x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4.vml"/><Relationship Id="rId3" Type="http://schemas.openxmlformats.org/officeDocument/2006/relationships/table" Target="../tables/table2.xml"/>
</Relationships>
</file>

<file path=xl/worksheets/_rels/sheet8.xml.rels><?xml version="1.0" encoding="UTF-8"?>
<Relationships xmlns="http://schemas.openxmlformats.org/package/2006/relationships"><Relationship Id="rId1" Type="http://schemas.openxmlformats.org/officeDocument/2006/relationships/drawing" Target="../drawings/drawing1.xml"/>
</Relationships>
</file>

<file path=xl/worksheets/_rels/sheet9.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6"/>
    <col collapsed="false" customWidth="true" hidden="false" outlineLevel="0" max="3" min="3" style="0" width="18"/>
    <col collapsed="false" customWidth="true" hidden="false" outlineLevel="0" max="5" min="4" style="0" width="40"/>
    <col collapsed="false" customWidth="true" hidden="false" outlineLevel="0" max="6" min="6" style="0" width="13"/>
    <col collapsed="false" customWidth="true" hidden="false" outlineLevel="0" max="7" min="7" style="0" width="10"/>
    <col collapsed="false" customWidth="true" hidden="false" outlineLevel="0" max="8" min="8" style="0" width="24"/>
  </cols>
  <sheetData>
    <row r="1" customFormat="false" ht="30" hidden="false" customHeight="true" outlineLevel="0" collapsed="false">
      <c r="A1" s="1" t="s">
        <v>0</v>
      </c>
      <c r="B1" s="1"/>
      <c r="C1" s="1"/>
      <c r="D1" s="1"/>
      <c r="E1" s="1"/>
      <c r="F1" s="1"/>
      <c r="G1" s="1"/>
      <c r="H1" s="1"/>
    </row>
    <row r="2" customFormat="false" ht="15" hidden="false" customHeight="false" outlineLevel="0" collapsed="false">
      <c r="A2" s="2" t="str">
        <f aca="false">"Record through "&amp;LOWER(LEFT(RecordThrough,1))&amp;MID(RecordThrough,2,200)&amp;". Next Policy Committee meeting: "&amp;TEXT(NextCommittee,"mmm d, yyyy")&amp;". Prepared "&amp;TEXT(AsOfDate,"mmm d, yyyy")&amp;"."</f>
        <v>Record through the Oct 5, 2026 board meeting. Next Policy Committee meeting: Oct 28, 2026. Prepared Oct 13, 2026.</v>
      </c>
      <c r="B2" s="2"/>
      <c r="C2" s="2"/>
      <c r="D2" s="2"/>
      <c r="E2" s="2"/>
      <c r="F2" s="2"/>
      <c r="G2" s="2"/>
      <c r="H2" s="2"/>
    </row>
    <row r="4" customFormat="false" ht="19.5" hidden="false" customHeight="true" outlineLevel="0" collapsed="false">
      <c r="A4" s="3" t="s">
        <v>1</v>
      </c>
      <c r="B4" s="3"/>
      <c r="C4" s="3" t="s">
        <v>2</v>
      </c>
      <c r="D4" s="3"/>
      <c r="E4" s="4" t="s">
        <v>3</v>
      </c>
      <c r="F4" s="3" t="s">
        <v>4</v>
      </c>
      <c r="G4" s="3"/>
      <c r="H4" s="4" t="s">
        <v>5</v>
      </c>
    </row>
    <row r="5" customFormat="false" ht="31.5" hidden="false" customHeight="true" outlineLevel="0" collapsed="false">
      <c r="A5" s="5" t="n">
        <f aca="false">COUNTIFS(Drafts!$C$2:$C$251,"Policy*",Drafts!$E$2:$E$251,"&lt;&gt;Adopted",Drafts!$E$2:$E$251,"&lt;&gt;Withdrawn")</f>
        <v>9</v>
      </c>
      <c r="B5" s="5"/>
      <c r="C5" s="5" t="n">
        <f aca="false">COUNTIF(Drafts!$E$2:$E$251,"Back in committee")</f>
        <v>2</v>
      </c>
      <c r="D5" s="5"/>
      <c r="E5" s="6" t="n">
        <f aca="false">COUNTIF(Comments!$N$2:$N$2001,"Open")</f>
        <v>5</v>
      </c>
      <c r="F5" s="5" t="n">
        <f aca="false">COUNTIFS(Drafts!$N$2:$N$251,"&lt;&gt;Complete",Drafts!$N$2:$N$251,"&lt;&gt;Not needed",Drafts!$N$2:$N$251,"&lt;&gt;To confirm",Drafts!$A$2:$A$251,"&lt;&gt;",Drafts!$E$2:$E$251,"&lt;&gt;Withdrawn")</f>
        <v>5</v>
      </c>
      <c r="G5" s="5"/>
      <c r="H5" s="6" t="n">
        <f aca="false">COUNTIF('Deferred edits'!$G$2:$G$201,"Waiting")</f>
        <v>5</v>
      </c>
    </row>
    <row r="6" customFormat="false" ht="18" hidden="false" customHeight="true" outlineLevel="0" collapsed="false">
      <c r="A6" s="7" t="s">
        <v>6</v>
      </c>
      <c r="B6" s="8" t="s">
        <v>7</v>
      </c>
      <c r="C6" s="9" t="s">
        <v>8</v>
      </c>
      <c r="D6" s="10" t="s">
        <v>9</v>
      </c>
      <c r="E6" s="11" t="s">
        <v>10</v>
      </c>
      <c r="F6" s="12" t="s">
        <v>11</v>
      </c>
      <c r="G6" s="12"/>
    </row>
    <row r="7" customFormat="false" ht="24" hidden="false" customHeight="true" outlineLevel="0" collapsed="false">
      <c r="A7" s="13" t="s">
        <v>12</v>
      </c>
      <c r="B7" s="13" t="s">
        <v>13</v>
      </c>
      <c r="C7" s="13" t="s">
        <v>14</v>
      </c>
      <c r="D7" s="13" t="s">
        <v>15</v>
      </c>
      <c r="E7" s="13" t="s">
        <v>16</v>
      </c>
      <c r="F7" s="13" t="s">
        <v>17</v>
      </c>
      <c r="G7" s="13" t="s">
        <v>3</v>
      </c>
      <c r="H7" s="13" t="s">
        <v>18</v>
      </c>
    </row>
    <row r="8" customFormat="false" ht="33.75" hidden="false" customHeight="true" outlineLevel="0" collapsed="false">
      <c r="A8" s="14" t="str">
        <f aca="false">IFERROR(IF(INDEX(Drafts!$A$1:$A$251,MATCH(SMALL(Calc!$A$4:$A$253,1),Calc!$A$4:$A$253,0)+1)="","",INDEX(Drafts!$A$1:$A$251,MATCH(SMALL(Calc!$A$4:$A$253,1),Calc!$A$4:$A$253,0)+1)),"")</f>
        <v>KEB</v>
      </c>
      <c r="B8" s="15" t="str">
        <f aca="false">IFERROR(IF(INDEX(Drafts!$B$1:$B$251,MATCH(SMALL(Calc!$A$4:$A$253,1),Calc!$A$4:$A$253,0)+1)="","",INDEX(Drafts!$B$1:$B$251,MATCH(SMALL(Calc!$A$4:$A$253,1),Calc!$A$4:$A$253,0)+1)),"")</f>
        <v>Solicitations</v>
      </c>
      <c r="C8" s="15" t="str">
        <f aca="false">IFERROR(IF(INDEX(Drafts!$E$1:$E$251,MATCH(SMALL(Calc!$A$4:$A$253,1),Calc!$A$4:$A$253,0)+1)="","",INDEX(Drafts!$E$1:$E$251,MATCH(SMALL(Calc!$A$4:$A$253,1),Calc!$A$4:$A$253,0)+1)),"")</f>
        <v>Second read</v>
      </c>
      <c r="D8" s="15" t="str">
        <f aca="false">IFERROR(IF(INDEX(Drafts!$F$1:$F$251,MATCH(SMALL(Calc!$A$4:$A$253,1),Calc!$A$4:$A$253,0)+1)="","",INDEX(Drafts!$F$1:$F$251,MATCH(SMALL(Calc!$A$4:$A$253,1),Calc!$A$4:$A$253,0)+1)),"")</f>
        <v>Second reading on the board's consent agenda. Committee agreed edits on Oct 1.</v>
      </c>
      <c r="E8" s="15" t="str">
        <f aca="false">IFERROR(IF(INDEX(Drafts!$H$1:$H$251,MATCH(SMALL(Calc!$A$4:$A$253,1),Calc!$A$4:$A$253,0)+1)="","",INDEX(Drafts!$H$1:$H$251,MATCH(SMALL(Calc!$A$4:$A$253,1),Calc!$A$4:$A$253,0)+1)),"")</f>
        <v>Committee reviews the revised draft with the Oct 1 edits.</v>
      </c>
      <c r="F8" s="16" t="n">
        <f aca="false">IFERROR(IF(INDEX(Drafts!$I$1:$I$251,MATCH(SMALL(Calc!$A$4:$A$253,1),Calc!$A$4:$A$253,0)+1)="","",INDEX(Drafts!$I$1:$I$251,MATCH(SMALL(Calc!$A$4:$A$253,1),Calc!$A$4:$A$253,0)+1)),"")</f>
        <v>46323</v>
      </c>
      <c r="G8" s="17" t="n">
        <f aca="false">IFERROR(IF(INDEX(Drafts!$S$1:$S$251,MATCH(SMALL(Calc!$A$4:$A$253,1),Calc!$A$4:$A$253,0)+1)="","",INDEX(Drafts!$S$1:$S$251,MATCH(SMALL(Calc!$A$4:$A$253,1),Calc!$A$4:$A$253,0)+1)),"")</f>
        <v>0</v>
      </c>
      <c r="H8" s="15" t="str">
        <f aca="false">IFERROR(IF(INDEX(Drafts!$M$1:$M$251,MATCH(SMALL(Calc!$A$4:$A$253,1),Calc!$A$4:$A$253,0)+1)&amp;INDEX(Drafts!$N$1:$N$251,MATCH(SMALL(Calc!$A$4:$A$253,1),Calc!$A$4:$A$253,0)+1)="","",INDEX(Drafts!$M$1:$M$251,MATCH(SMALL(Calc!$A$4:$A$253,1),Calc!$A$4:$A$253,0)+1)&amp;": "&amp;INDEX(Drafts!$N$1:$N$251,MATCH(SMALL(Calc!$A$4:$A$253,1),Calc!$A$4:$A$253,0)+1)),"")</f>
        <v>KEB-R(1): Exists, update to match</v>
      </c>
    </row>
    <row r="9" customFormat="false" ht="33.75" hidden="false" customHeight="true" outlineLevel="0" collapsed="false">
      <c r="A9" s="14" t="str">
        <f aca="false">IFERROR(IF(INDEX(Drafts!$A$1:$A$251,MATCH(SMALL(Calc!$A$4:$A$253,2),Calc!$A$4:$A$253,0)+1)="","",INDEX(Drafts!$A$1:$A$251,MATCH(SMALL(Calc!$A$4:$A$253,2),Calc!$A$4:$A$253,0)+1)),"")</f>
        <v>BBBE</v>
      </c>
      <c r="B9" s="15" t="str">
        <f aca="false">IFERROR(IF(INDEX(Drafts!$B$1:$B$251,MATCH(SMALL(Calc!$A$4:$A$253,2),Calc!$A$4:$A$253,0)+1)="","",INDEX(Drafts!$B$1:$B$251,MATCH(SMALL(Calc!$A$4:$A$253,2),Calc!$A$4:$A$253,0)+1)),"")</f>
        <v>Board Member Compensation and Expenses</v>
      </c>
      <c r="C9" s="15" t="str">
        <f aca="false">IFERROR(IF(INDEX(Drafts!$E$1:$E$251,MATCH(SMALL(Calc!$A$4:$A$253,2),Calc!$A$4:$A$253,0)+1)="","",INDEX(Drafts!$E$1:$E$251,MATCH(SMALL(Calc!$A$4:$A$253,2),Calc!$A$4:$A$253,0)+1)),"")</f>
        <v>First read: comment window</v>
      </c>
      <c r="D9" s="15" t="str">
        <f aca="false">IFERROR(IF(INDEX(Drafts!$F$1:$F$251,MATCH(SMALL(Calc!$A$4:$A$253,2),Calc!$A$4:$A$253,0)+1)="","",INDEX(Drafts!$F$1:$F$251,MATCH(SMALL(Calc!$A$4:$A$253,2),Calc!$A$4:$A$253,0)+1)),"")</f>
        <v>First reading on the board's consent agenda.</v>
      </c>
      <c r="E9" s="15" t="str">
        <f aca="false">IFERROR(IF(INDEX(Drafts!$H$1:$H$251,MATCH(SMALL(Calc!$A$4:$A$253,2),Calc!$A$4:$A$253,0)+1)="","",INDEX(Drafts!$H$1:$H$251,MATCH(SMALL(Calc!$A$4:$A$253,2),Calc!$A$4:$A$253,0)+1)),"")</f>
        <v>Board suggestion window closes (about 14 days, BDC-R(1)); committee review follows (current practice).</v>
      </c>
      <c r="F9" s="16" t="n">
        <f aca="false">IFERROR(IF(INDEX(Drafts!$I$1:$I$251,MATCH(SMALL(Calc!$A$4:$A$253,2),Calc!$A$4:$A$253,0)+1)="","",INDEX(Drafts!$I$1:$I$251,MATCH(SMALL(Calc!$A$4:$A$253,2),Calc!$A$4:$A$253,0)+1)),"")</f>
        <v>46314</v>
      </c>
      <c r="G9" s="17" t="n">
        <f aca="false">IFERROR(IF(INDEX(Drafts!$S$1:$S$251,MATCH(SMALL(Calc!$A$4:$A$253,2),Calc!$A$4:$A$253,0)+1)="","",INDEX(Drafts!$S$1:$S$251,MATCH(SMALL(Calc!$A$4:$A$253,2),Calc!$A$4:$A$253,0)+1)),"")</f>
        <v>0</v>
      </c>
      <c r="H9" s="15" t="str">
        <f aca="false">IFERROR(IF(INDEX(Drafts!$M$1:$M$251,MATCH(SMALL(Calc!$A$4:$A$253,2),Calc!$A$4:$A$253,0)+1)&amp;INDEX(Drafts!$N$1:$N$251,MATCH(SMALL(Calc!$A$4:$A$253,2),Calc!$A$4:$A$253,0)+1)="","",INDEX(Drafts!$M$1:$M$251,MATCH(SMALL(Calc!$A$4:$A$253,2),Calc!$A$4:$A$253,0)+1)&amp;": "&amp;INDEX(Drafts!$N$1:$N$251,MATCH(SMALL(Calc!$A$4:$A$253,2),Calc!$A$4:$A$253,0)+1)),"")</f>
        <v>None noted: To confirm</v>
      </c>
    </row>
    <row r="10" customFormat="false" ht="33.75" hidden="false" customHeight="true" outlineLevel="0" collapsed="false">
      <c r="A10" s="14" t="str">
        <f aca="false">IFERROR(IF(INDEX(Drafts!$A$1:$A$251,MATCH(SMALL(Calc!$A$4:$A$253,3),Calc!$A$4:$A$253,0)+1)="","",INDEX(Drafts!$A$1:$A$251,MATCH(SMALL(Calc!$A$4:$A$253,3),Calc!$A$4:$A$253,0)+1)),"")</f>
        <v>BA</v>
      </c>
      <c r="B10" s="15" t="str">
        <f aca="false">IFERROR(IF(INDEX(Drafts!$B$1:$B$251,MATCH(SMALL(Calc!$A$4:$A$253,3),Calc!$A$4:$A$253,0)+1)="","",INDEX(Drafts!$B$1:$B$251,MATCH(SMALL(Calc!$A$4:$A$253,3),Calc!$A$4:$A$253,0)+1)),"")</f>
        <v>Goals and Objectives</v>
      </c>
      <c r="C10" s="15" t="str">
        <f aca="false">IFERROR(IF(INDEX(Drafts!$E$1:$E$251,MATCH(SMALL(Calc!$A$4:$A$253,3),Calc!$A$4:$A$253,0)+1)="","",INDEX(Drafts!$E$1:$E$251,MATCH(SMALL(Calc!$A$4:$A$253,3),Calc!$A$4:$A$253,0)+1)),"")</f>
        <v>Back in committee</v>
      </c>
      <c r="D10" s="15" t="str">
        <f aca="false">IFERROR(IF(INDEX(Drafts!$F$1:$F$251,MATCH(SMALL(Calc!$A$4:$A$253,3),Calc!$A$4:$A$253,0)+1)="","",INDEX(Drafts!$F$1:$F$251,MATCH(SMALL(Calc!$A$4:$A$253,3),Calc!$A$4:$A$253,0)+1)),"")</f>
        <v>Board took it off the action agenda and returned it to committee.</v>
      </c>
      <c r="E10" s="15" t="str">
        <f aca="false">IFERROR(IF(INDEX(Drafts!$H$1:$H$251,MATCH(SMALL(Calc!$A$4:$A$253,3),Calc!$A$4:$A$253,0)+1)="","",INDEX(Drafts!$H$1:$H$251,MATCH(SMALL(Calc!$A$4:$A$253,3),Calc!$A$4:$A$253,0)+1)),"")</f>
        <v>Committee revisits the title and placement, the implementation plan and the draft regulation.</v>
      </c>
      <c r="F10" s="16" t="n">
        <f aca="false">IFERROR(IF(INDEX(Drafts!$I$1:$I$251,MATCH(SMALL(Calc!$A$4:$A$253,3),Calc!$A$4:$A$253,0)+1)="","",INDEX(Drafts!$I$1:$I$251,MATCH(SMALL(Calc!$A$4:$A$253,3),Calc!$A$4:$A$253,0)+1)),"")</f>
        <v>46323</v>
      </c>
      <c r="G10" s="17" t="n">
        <f aca="false">IFERROR(IF(INDEX(Drafts!$S$1:$S$251,MATCH(SMALL(Calc!$A$4:$A$253,3),Calc!$A$4:$A$253,0)+1)="","",INDEX(Drafts!$S$1:$S$251,MATCH(SMALL(Calc!$A$4:$A$253,3),Calc!$A$4:$A$253,0)+1)),"")</f>
        <v>4</v>
      </c>
      <c r="H10" s="15" t="str">
        <f aca="false">IFERROR(IF(INDEX(Drafts!$M$1:$M$251,MATCH(SMALL(Calc!$A$4:$A$253,3),Calc!$A$4:$A$253,0)+1)&amp;INDEX(Drafts!$N$1:$N$251,MATCH(SMALL(Calc!$A$4:$A$253,3),Calc!$A$4:$A$253,0)+1)="","",INDEX(Drafts!$M$1:$M$251,MATCH(SMALL(Calc!$A$4:$A$253,3),Calc!$A$4:$A$253,0)+1)&amp;": "&amp;INDEX(Drafts!$N$1:$N$251,MATCH(SMALL(Calc!$A$4:$A$253,3),Calc!$A$4:$A$253,0)+1)),"")</f>
        <v>BA regulation: Draft exists</v>
      </c>
    </row>
    <row r="11" customFormat="false" ht="33.75" hidden="false" customHeight="true" outlineLevel="0" collapsed="false">
      <c r="A11" s="14" t="str">
        <f aca="false">IFERROR(IF(INDEX(Drafts!$A$1:$A$251,MATCH(SMALL(Calc!$A$4:$A$253,4),Calc!$A$4:$A$253,0)+1)="","",INDEX(Drafts!$A$1:$A$251,MATCH(SMALL(Calc!$A$4:$A$253,4),Calc!$A$4:$A$253,0)+1)),"")</f>
        <v>JAA</v>
      </c>
      <c r="B11" s="15" t="str">
        <f aca="false">IFERROR(IF(INDEX(Drafts!$B$1:$B$251,MATCH(SMALL(Calc!$A$4:$A$253,4),Calc!$A$4:$A$253,0)+1)="","",INDEX(Drafts!$B$1:$B$251,MATCH(SMALL(Calc!$A$4:$A$253,4),Calc!$A$4:$A$253,0)+1)),"")</f>
        <v>Equal Educational Opportunities</v>
      </c>
      <c r="C11" s="15" t="str">
        <f aca="false">IFERROR(IF(INDEX(Drafts!$E$1:$E$251,MATCH(SMALL(Calc!$A$4:$A$253,4),Calc!$A$4:$A$253,0)+1)="","",INDEX(Drafts!$E$1:$E$251,MATCH(SMALL(Calc!$A$4:$A$253,4),Calc!$A$4:$A$253,0)+1)),"")</f>
        <v>Back in committee</v>
      </c>
      <c r="D11" s="15" t="str">
        <f aca="false">IFERROR(IF(INDEX(Drafts!$F$1:$F$251,MATCH(SMALL(Calc!$A$4:$A$253,4),Calc!$A$4:$A$253,0)+1)="","",INDEX(Drafts!$F$1:$F$251,MATCH(SMALL(Calc!$A$4:$A$253,4),Calc!$A$4:$A$253,0)+1)),"")</f>
        <v>Board took it off the action agenda with BA and returned it to committee.</v>
      </c>
      <c r="E11" s="15" t="str">
        <f aca="false">IFERROR(IF(INDEX(Drafts!$H$1:$H$251,MATCH(SMALL(Calc!$A$4:$A$253,4),Calc!$A$4:$A$253,0)+1)="","",INDEX(Drafts!$H$1:$H$251,MATCH(SMALL(Calc!$A$4:$A$253,4),Calc!$A$4:$A$253,0)+1)),"")</f>
        <v>Committee revisits it with BA, including whether to combine BA, JAA and GAAA.</v>
      </c>
      <c r="F11" s="16" t="n">
        <f aca="false">IFERROR(IF(INDEX(Drafts!$I$1:$I$251,MATCH(SMALL(Calc!$A$4:$A$253,4),Calc!$A$4:$A$253,0)+1)="","",INDEX(Drafts!$I$1:$I$251,MATCH(SMALL(Calc!$A$4:$A$253,4),Calc!$A$4:$A$253,0)+1)),"")</f>
        <v>46323</v>
      </c>
      <c r="G11" s="17" t="n">
        <f aca="false">IFERROR(IF(INDEX(Drafts!$S$1:$S$251,MATCH(SMALL(Calc!$A$4:$A$253,4),Calc!$A$4:$A$253,0)+1)="","",INDEX(Drafts!$S$1:$S$251,MATCH(SMALL(Calc!$A$4:$A$253,4),Calc!$A$4:$A$253,0)+1)),"")</f>
        <v>1</v>
      </c>
      <c r="H11" s="15" t="str">
        <f aca="false">IFERROR(IF(INDEX(Drafts!$M$1:$M$251,MATCH(SMALL(Calc!$A$4:$A$253,4),Calc!$A$4:$A$253,0)+1)&amp;INDEX(Drafts!$N$1:$N$251,MATCH(SMALL(Calc!$A$4:$A$253,4),Calc!$A$4:$A$253,0)+1)="","",INDEX(Drafts!$M$1:$M$251,MATCH(SMALL(Calc!$A$4:$A$253,4),Calc!$A$4:$A$253,0)+1)&amp;": "&amp;INDEX(Drafts!$N$1:$N$251,MATCH(SMALL(Calc!$A$4:$A$253,4),Calc!$A$4:$A$253,0)+1)),"")</f>
        <v>None noted: To confirm</v>
      </c>
    </row>
    <row r="12" customFormat="false" ht="33.75" hidden="false" customHeight="true" outlineLevel="0" collapsed="false">
      <c r="A12" s="14" t="str">
        <f aca="false">IFERROR(IF(INDEX(Drafts!$A$1:$A$251,MATCH(SMALL(Calc!$A$4:$A$253,5),Calc!$A$4:$A$253,0)+1)="","",INDEX(Drafts!$A$1:$A$251,MATCH(SMALL(Calc!$A$4:$A$253,5),Calc!$A$4:$A$253,0)+1)),"")</f>
        <v>IFBI</v>
      </c>
      <c r="B12" s="15" t="str">
        <f aca="false">IFERROR(IF(INDEX(Drafts!$B$1:$B$251,MATCH(SMALL(Calc!$A$4:$A$253,5),Calc!$A$4:$A$253,0)+1)="","",INDEX(Drafts!$B$1:$B$251,MATCH(SMALL(Calc!$A$4:$A$253,5),Calc!$A$4:$A$253,0)+1)),"")</f>
        <v>Artificial Intelligence</v>
      </c>
      <c r="C12" s="15" t="str">
        <f aca="false">IFERROR(IF(INDEX(Drafts!$E$1:$E$251,MATCH(SMALL(Calc!$A$4:$A$253,5),Calc!$A$4:$A$253,0)+1)="","",INDEX(Drafts!$E$1:$E$251,MATCH(SMALL(Calc!$A$4:$A$253,5),Calc!$A$4:$A$253,0)+1)),"")</f>
        <v>Held</v>
      </c>
      <c r="D12" s="15" t="str">
        <f aca="false">IFERROR(IF(INDEX(Drafts!$F$1:$F$251,MATCH(SMALL(Calc!$A$4:$A$253,5),Calc!$A$4:$A$253,0)+1)="","",INDEX(Drafts!$F$1:$F$251,MATCH(SMALL(Calc!$A$4:$A$253,5),Calc!$A$4:$A$253,0)+1)),"")</f>
        <v>Second reading on the board's consent agenda. Committee asked for a staff workshop first (Sep 24).</v>
      </c>
      <c r="E12" s="15" t="str">
        <f aca="false">IFERROR(IF(INDEX(Drafts!$H$1:$H$251,MATCH(SMALL(Calc!$A$4:$A$253,5),Calc!$A$4:$A$253,0)+1)="","",INDEX(Drafts!$H$1:$H$251,MATCH(SMALL(Calc!$A$4:$A$253,5),Calc!$A$4:$A$253,0)+1)),"")</f>
        <v>Staff workshop on IFBI, IFBG and the planned screen time policy, then committee. No return date in the public record yet.</v>
      </c>
      <c r="F12" s="16" t="str">
        <f aca="false">IFERROR(IF(INDEX(Drafts!$I$1:$I$251,MATCH(SMALL(Calc!$A$4:$A$253,5),Calc!$A$4:$A$253,0)+1)="","",INDEX(Drafts!$I$1:$I$251,MATCH(SMALL(Calc!$A$4:$A$253,5),Calc!$A$4:$A$253,0)+1)),"")</f>
        <v/>
      </c>
      <c r="G12" s="17" t="n">
        <f aca="false">IFERROR(IF(INDEX(Drafts!$S$1:$S$251,MATCH(SMALL(Calc!$A$4:$A$253,5),Calc!$A$4:$A$253,0)+1)="","",INDEX(Drafts!$S$1:$S$251,MATCH(SMALL(Calc!$A$4:$A$253,5),Calc!$A$4:$A$253,0)+1)),"")</f>
        <v>0</v>
      </c>
      <c r="H12" s="15" t="str">
        <f aca="false">IFERROR(IF(INDEX(Drafts!$M$1:$M$251,MATCH(SMALL(Calc!$A$4:$A$253,5),Calc!$A$4:$A$253,0)+1)&amp;INDEX(Drafts!$N$1:$N$251,MATCH(SMALL(Calc!$A$4:$A$253,5),Calc!$A$4:$A$253,0)+1)="","",INDEX(Drafts!$M$1:$M$251,MATCH(SMALL(Calc!$A$4:$A$253,5),Calc!$A$4:$A$253,0)+1)&amp;": "&amp;INDEX(Drafts!$N$1:$N$251,MATCH(SMALL(Calc!$A$4:$A$253,5),Calc!$A$4:$A$253,0)+1)),"")</f>
        <v>Staff and student AI regulations: Draft ready for Legal</v>
      </c>
    </row>
    <row r="13" customFormat="false" ht="33.75" hidden="false" customHeight="true" outlineLevel="0" collapsed="false">
      <c r="A13" s="14" t="str">
        <f aca="false">IFERROR(IF(INDEX(Drafts!$A$1:$A$251,MATCH(SMALL(Calc!$A$4:$A$253,6),Calc!$A$4:$A$253,0)+1)="","",INDEX(Drafts!$A$1:$A$251,MATCH(SMALL(Calc!$A$4:$A$253,6),Calc!$A$4:$A$253,0)+1)),"")</f>
        <v>IFBG</v>
      </c>
      <c r="B13" s="15" t="str">
        <f aca="false">IFERROR(IF(INDEX(Drafts!$B$1:$B$251,MATCH(SMALL(Calc!$A$4:$A$253,6),Calc!$A$4:$A$253,0)+1)="","",INDEX(Drafts!$B$1:$B$251,MATCH(SMALL(Calc!$A$4:$A$253,6),Calc!$A$4:$A$253,0)+1)),"")</f>
        <v>Internet Acceptable Use</v>
      </c>
      <c r="C13" s="15" t="str">
        <f aca="false">IFERROR(IF(INDEX(Drafts!$E$1:$E$251,MATCH(SMALL(Calc!$A$4:$A$253,6),Calc!$A$4:$A$253,0)+1)="","",INDEX(Drafts!$E$1:$E$251,MATCH(SMALL(Calc!$A$4:$A$253,6),Calc!$A$4:$A$253,0)+1)),"")</f>
        <v>Held</v>
      </c>
      <c r="D13" s="15" t="str">
        <f aca="false">IFERROR(IF(INDEX(Drafts!$F$1:$F$251,MATCH(SMALL(Calc!$A$4:$A$253,6),Calc!$A$4:$A$253,0)+1)="","",INDEX(Drafts!$F$1:$F$251,MATCH(SMALL(Calc!$A$4:$A$253,6),Calc!$A$4:$A$253,0)+1)),"")</f>
        <v>Second reading on the board's consent agenda. To be reviewed with IFBI (Sep 24).</v>
      </c>
      <c r="E13" s="15" t="str">
        <f aca="false">IFERROR(IF(INDEX(Drafts!$H$1:$H$251,MATCH(SMALL(Calc!$A$4:$A$253,6),Calc!$A$4:$A$253,0)+1)="","",INDEX(Drafts!$H$1:$H$251,MATCH(SMALL(Calc!$A$4:$A$253,6),Calc!$A$4:$A$253,0)+1)),"")</f>
        <v>Same staff workshop as IFBI, then committee. No return date in the public record yet.</v>
      </c>
      <c r="F13" s="16" t="str">
        <f aca="false">IFERROR(IF(INDEX(Drafts!$I$1:$I$251,MATCH(SMALL(Calc!$A$4:$A$253,6),Calc!$A$4:$A$253,0)+1)="","",INDEX(Drafts!$I$1:$I$251,MATCH(SMALL(Calc!$A$4:$A$253,6),Calc!$A$4:$A$253,0)+1)),"")</f>
        <v/>
      </c>
      <c r="G13" s="17" t="n">
        <f aca="false">IFERROR(IF(INDEX(Drafts!$S$1:$S$251,MATCH(SMALL(Calc!$A$4:$A$253,6),Calc!$A$4:$A$253,0)+1)="","",INDEX(Drafts!$S$1:$S$251,MATCH(SMALL(Calc!$A$4:$A$253,6),Calc!$A$4:$A$253,0)+1)),"")</f>
        <v>0</v>
      </c>
      <c r="H13" s="15" t="str">
        <f aca="false">IFERROR(IF(INDEX(Drafts!$M$1:$M$251,MATCH(SMALL(Calc!$A$4:$A$253,6),Calc!$A$4:$A$253,0)+1)&amp;INDEX(Drafts!$N$1:$N$251,MATCH(SMALL(Calc!$A$4:$A$253,6),Calc!$A$4:$A$253,0)+1)="","",INDEX(Drafts!$M$1:$M$251,MATCH(SMALL(Calc!$A$4:$A$253,6),Calc!$A$4:$A$253,0)+1)&amp;": "&amp;INDEX(Drafts!$N$1:$N$251,MATCH(SMALL(Calc!$A$4:$A$253,6),Calc!$A$4:$A$253,0)+1)),"")</f>
        <v>IFBG-R(1): To confirm</v>
      </c>
    </row>
    <row r="14" customFormat="false" ht="33.75" hidden="false" customHeight="true" outlineLevel="0" collapsed="false">
      <c r="A14" s="14" t="str">
        <f aca="false">IFERROR(IF(INDEX(Drafts!$A$1:$A$251,MATCH(SMALL(Calc!$A$4:$A$253,7),Calc!$A$4:$A$253,0)+1)="","",INDEX(Drafts!$A$1:$A$251,MATCH(SMALL(Calc!$A$4:$A$253,7),Calc!$A$4:$A$253,0)+1)),"")</f>
        <v>DO</v>
      </c>
      <c r="B14" s="15" t="str">
        <f aca="false">IFERROR(IF(INDEX(Drafts!$B$1:$B$251,MATCH(SMALL(Calc!$A$4:$A$253,7),Calc!$A$4:$A$253,0)+1)="","",INDEX(Drafts!$B$1:$B$251,MATCH(SMALL(Calc!$A$4:$A$253,7),Calc!$A$4:$A$253,0)+1)),"")</f>
        <v>School Properties Disposal Procedures</v>
      </c>
      <c r="C14" s="15" t="str">
        <f aca="false">IFERROR(IF(INDEX(Drafts!$E$1:$E$251,MATCH(SMALL(Calc!$A$4:$A$253,7),Calc!$A$4:$A$253,0)+1)="","",INDEX(Drafts!$E$1:$E$251,MATCH(SMALL(Calc!$A$4:$A$253,7),Calc!$A$4:$A$253,0)+1)),"")</f>
        <v>Held</v>
      </c>
      <c r="D14" s="15" t="str">
        <f aca="false">IFERROR(IF(INDEX(Drafts!$F$1:$F$251,MATCH(SMALL(Calc!$A$4:$A$253,7),Calc!$A$4:$A$253,0)+1)="","",INDEX(Drafts!$F$1:$F$251,MATCH(SMALL(Calc!$A$4:$A$253,7),Calc!$A$4:$A$253,0)+1)),"")</f>
        <v>Added to the committee's list; held back from first reading.</v>
      </c>
      <c r="E14" s="15" t="str">
        <f aca="false">IFERROR(IF(INDEX(Drafts!$H$1:$H$251,MATCH(SMALL(Calc!$A$4:$A$253,7),Calc!$A$4:$A$253,0)+1)="","",INDEX(Drafts!$H$1:$H$251,MATCH(SMALL(Calc!$A$4:$A$253,7),Calc!$A$4:$A$253,0)+1)),"")</f>
        <v>Committee schedules its review. No return date in the public record yet.</v>
      </c>
      <c r="F14" s="16" t="str">
        <f aca="false">IFERROR(IF(INDEX(Drafts!$I$1:$I$251,MATCH(SMALL(Calc!$A$4:$A$253,7),Calc!$A$4:$A$253,0)+1)="","",INDEX(Drafts!$I$1:$I$251,MATCH(SMALL(Calc!$A$4:$A$253,7),Calc!$A$4:$A$253,0)+1)),"")</f>
        <v/>
      </c>
      <c r="G14" s="17" t="n">
        <f aca="false">IFERROR(IF(INDEX(Drafts!$S$1:$S$251,MATCH(SMALL(Calc!$A$4:$A$253,7),Calc!$A$4:$A$253,0)+1)="","",INDEX(Drafts!$S$1:$S$251,MATCH(SMALL(Calc!$A$4:$A$253,7),Calc!$A$4:$A$253,0)+1)),"")</f>
        <v>0</v>
      </c>
      <c r="H14" s="15" t="str">
        <f aca="false">IFERROR(IF(INDEX(Drafts!$M$1:$M$251,MATCH(SMALL(Calc!$A$4:$A$253,7),Calc!$A$4:$A$253,0)+1)&amp;INDEX(Drafts!$N$1:$N$251,MATCH(SMALL(Calc!$A$4:$A$253,7),Calc!$A$4:$A$253,0)+1)="","",INDEX(Drafts!$M$1:$M$251,MATCH(SMALL(Calc!$A$4:$A$253,7),Calc!$A$4:$A$253,0)+1)&amp;": "&amp;INDEX(Drafts!$N$1:$N$251,MATCH(SMALL(Calc!$A$4:$A$253,7),Calc!$A$4:$A$253,0)+1)),"")</f>
        <v>DO-R: To confirm</v>
      </c>
    </row>
    <row r="15" customFormat="false" ht="33.75" hidden="false" customHeight="true" outlineLevel="0" collapsed="false">
      <c r="A15" s="14" t="str">
        <f aca="false">IFERROR(IF(INDEX(Drafts!$A$1:$A$251,MATCH(SMALL(Calc!$A$4:$A$253,8),Calc!$A$4:$A$253,0)+1)="","",INDEX(Drafts!$A$1:$A$251,MATCH(SMALL(Calc!$A$4:$A$253,8),Calc!$A$4:$A$253,0)+1)),"")</f>
        <v>DJE</v>
      </c>
      <c r="B15" s="15" t="str">
        <f aca="false">IFERROR(IF(INDEX(Drafts!$B$1:$B$251,MATCH(SMALL(Calc!$A$4:$A$253,8),Calc!$A$4:$A$253,0)+1)="","",INDEX(Drafts!$B$1:$B$251,MATCH(SMALL(Calc!$A$4:$A$253,8),Calc!$A$4:$A$253,0)+1)),"")</f>
        <v>Purchasing</v>
      </c>
      <c r="C15" s="15" t="str">
        <f aca="false">IFERROR(IF(INDEX(Drafts!$E$1:$E$251,MATCH(SMALL(Calc!$A$4:$A$253,8),Calc!$A$4:$A$253,0)+1)="","",INDEX(Drafts!$E$1:$E$251,MATCH(SMALL(Calc!$A$4:$A$253,8),Calc!$A$4:$A$253,0)+1)),"")</f>
        <v>Held</v>
      </c>
      <c r="D15" s="15" t="str">
        <f aca="false">IFERROR(IF(INDEX(Drafts!$F$1:$F$251,MATCH(SMALL(Calc!$A$4:$A$253,8),Calc!$A$4:$A$253,0)+1)="","",INDEX(Drafts!$F$1:$F$251,MATCH(SMALL(Calc!$A$4:$A$253,8),Calc!$A$4:$A$253,0)+1)),"")</f>
        <v>Added to the committee's list; held back from first reading.</v>
      </c>
      <c r="E15" s="15" t="str">
        <f aca="false">IFERROR(IF(INDEX(Drafts!$H$1:$H$251,MATCH(SMALL(Calc!$A$4:$A$253,8),Calc!$A$4:$A$253,0)+1)="","",INDEX(Drafts!$H$1:$H$251,MATCH(SMALL(Calc!$A$4:$A$253,8),Calc!$A$4:$A$253,0)+1)),"")</f>
        <v>Committee schedules its review. No return date in the public record yet.</v>
      </c>
      <c r="F15" s="16" t="str">
        <f aca="false">IFERROR(IF(INDEX(Drafts!$I$1:$I$251,MATCH(SMALL(Calc!$A$4:$A$253,8),Calc!$A$4:$A$253,0)+1)="","",INDEX(Drafts!$I$1:$I$251,MATCH(SMALL(Calc!$A$4:$A$253,8),Calc!$A$4:$A$253,0)+1)),"")</f>
        <v/>
      </c>
      <c r="G15" s="17" t="n">
        <f aca="false">IFERROR(IF(INDEX(Drafts!$S$1:$S$251,MATCH(SMALL(Calc!$A$4:$A$253,8),Calc!$A$4:$A$253,0)+1)="","",INDEX(Drafts!$S$1:$S$251,MATCH(SMALL(Calc!$A$4:$A$253,8),Calc!$A$4:$A$253,0)+1)),"")</f>
        <v>0</v>
      </c>
      <c r="H15" s="15" t="str">
        <f aca="false">IFERROR(IF(INDEX(Drafts!$M$1:$M$251,MATCH(SMALL(Calc!$A$4:$A$253,8),Calc!$A$4:$A$253,0)+1)&amp;INDEX(Drafts!$N$1:$N$251,MATCH(SMALL(Calc!$A$4:$A$253,8),Calc!$A$4:$A$253,0)+1)="","",INDEX(Drafts!$M$1:$M$251,MATCH(SMALL(Calc!$A$4:$A$253,8),Calc!$A$4:$A$253,0)+1)&amp;": "&amp;INDEX(Drafts!$N$1:$N$251,MATCH(SMALL(Calc!$A$4:$A$253,8),Calc!$A$4:$A$253,0)+1)),"")</f>
        <v>DJE-R(1): To confirm</v>
      </c>
    </row>
    <row r="16" customFormat="false" ht="33.75" hidden="false" customHeight="true" outlineLevel="0" collapsed="false">
      <c r="A16" s="14" t="str">
        <f aca="false">IFERROR(IF(INDEX(Drafts!$A$1:$A$251,MATCH(SMALL(Calc!$A$4:$A$253,9),Calc!$A$4:$A$253,0)+1)="","",INDEX(Drafts!$A$1:$A$251,MATCH(SMALL(Calc!$A$4:$A$253,9),Calc!$A$4:$A$253,0)+1)),"")</f>
        <v>NEW-1</v>
      </c>
      <c r="B16" s="15" t="str">
        <f aca="false">IFERROR(IF(INDEX(Drafts!$B$1:$B$251,MATCH(SMALL(Calc!$A$4:$A$253,9),Calc!$A$4:$A$253,0)+1)="","",INDEX(Drafts!$B$1:$B$251,MATCH(SMALL(Calc!$A$4:$A$253,9),Calc!$A$4:$A$253,0)+1)),"")</f>
        <v>Screen time</v>
      </c>
      <c r="C16" s="15" t="str">
        <f aca="false">IFERROR(IF(INDEX(Drafts!$E$1:$E$251,MATCH(SMALL(Calc!$A$4:$A$253,9),Calc!$A$4:$A$253,0)+1)="","",INDEX(Drafts!$E$1:$E$251,MATCH(SMALL(Calc!$A$4:$A$253,9),Calc!$A$4:$A$253,0)+1)),"")</f>
        <v>Drafting</v>
      </c>
      <c r="D16" s="15" t="str">
        <f aca="false">IFERROR(IF(INDEX(Drafts!$F$1:$F$251,MATCH(SMALL(Calc!$A$4:$A$253,9),Calc!$A$4:$A$253,0)+1)="","",INDEX(Drafts!$F$1:$F$251,MATCH(SMALL(Calc!$A$4:$A$253,9),Calc!$A$4:$A$253,0)+1)),"")</f>
        <v>Staff described a policy with regulations planned this semester.</v>
      </c>
      <c r="E16" s="15" t="str">
        <f aca="false">IFERROR(IF(INDEX(Drafts!$H$1:$H$251,MATCH(SMALL(Calc!$A$4:$A$253,9),Calc!$A$4:$A$253,0)+1)="","",INDEX(Drafts!$H$1:$H$251,MATCH(SMALL(Calc!$A$4:$A$253,9),Calc!$A$4:$A$253,0)+1)),"")</f>
        <v>Reviewed with IFBI and IFBG.</v>
      </c>
      <c r="F16" s="16" t="str">
        <f aca="false">IFERROR(IF(INDEX(Drafts!$I$1:$I$251,MATCH(SMALL(Calc!$A$4:$A$253,9),Calc!$A$4:$A$253,0)+1)="","",INDEX(Drafts!$I$1:$I$251,MATCH(SMALL(Calc!$A$4:$A$253,9),Calc!$A$4:$A$253,0)+1)),"")</f>
        <v/>
      </c>
      <c r="G16" s="17" t="n">
        <f aca="false">IFERROR(IF(INDEX(Drafts!$S$1:$S$251,MATCH(SMALL(Calc!$A$4:$A$253,9),Calc!$A$4:$A$253,0)+1)="","",INDEX(Drafts!$S$1:$S$251,MATCH(SMALL(Calc!$A$4:$A$253,9),Calc!$A$4:$A$253,0)+1)),"")</f>
        <v>0</v>
      </c>
      <c r="H16" s="15" t="str">
        <f aca="false">IFERROR(IF(INDEX(Drafts!$M$1:$M$251,MATCH(SMALL(Calc!$A$4:$A$253,9),Calc!$A$4:$A$253,0)+1)&amp;INDEX(Drafts!$N$1:$N$251,MATCH(SMALL(Calc!$A$4:$A$253,9),Calc!$A$4:$A$253,0)+1)="","",INDEX(Drafts!$M$1:$M$251,MATCH(SMALL(Calc!$A$4:$A$253,9),Calc!$A$4:$A$253,0)+1)&amp;": "&amp;INDEX(Drafts!$N$1:$N$251,MATCH(SMALL(Calc!$A$4:$A$253,9),Calc!$A$4:$A$253,0)+1)),"")</f>
        <v>Screen time regulation: Planned</v>
      </c>
    </row>
    <row r="17" customFormat="false" ht="33.75" hidden="false" customHeight="true" outlineLevel="0" collapsed="false">
      <c r="A17" s="14" t="str">
        <f aca="false">IFERROR(IF(INDEX(Drafts!$A$1:$A$251,MATCH(SMALL(Calc!$A$4:$A$253,10),Calc!$A$4:$A$253,0)+1)="","",INDEX(Drafts!$A$1:$A$251,MATCH(SMALL(Calc!$A$4:$A$253,10),Calc!$A$4:$A$253,0)+1)),"")</f>
        <v>BC reg</v>
      </c>
      <c r="B17" s="15" t="str">
        <f aca="false">IFERROR(IF(INDEX(Drafts!$B$1:$B$251,MATCH(SMALL(Calc!$A$4:$A$253,10),Calc!$A$4:$A$253,0)+1)="","",INDEX(Drafts!$B$1:$B$251,MATCH(SMALL(Calc!$A$4:$A$253,10),Calc!$A$4:$A$253,0)+1)),"")</f>
        <v>Board Meetings regulation (amendment)</v>
      </c>
      <c r="C17" s="15" t="str">
        <f aca="false">IFERROR(IF(INDEX(Drafts!$E$1:$E$251,MATCH(SMALL(Calc!$A$4:$A$253,10),Calc!$A$4:$A$253,0)+1)="","",INDEX(Drafts!$E$1:$E$251,MATCH(SMALL(Calc!$A$4:$A$253,10),Calc!$A$4:$A$253,0)+1)),"")</f>
        <v>Regulation work</v>
      </c>
      <c r="D17" s="15" t="str">
        <f aca="false">IFERROR(IF(INDEX(Drafts!$F$1:$F$251,MATCH(SMALL(Calc!$A$4:$A$253,10),Calc!$A$4:$A$253,0)+1)="","",INDEX(Drafts!$F$1:$F$251,MATCH(SMALL(Calc!$A$4:$A$253,10),Calc!$A$4:$A$253,0)+1)),"")</f>
        <v>Board member requests on agenda timing logged for the regulation; board recognition criteria planned.</v>
      </c>
      <c r="E17" s="15" t="str">
        <f aca="false">IFERROR(IF(INDEX(Drafts!$H$1:$H$251,MATCH(SMALL(Calc!$A$4:$A$253,10),Calc!$A$4:$A$253,0)+1)="","",INDEX(Drafts!$H$1:$H$251,MATCH(SMALL(Calc!$A$4:$A$253,10),Calc!$A$4:$A$253,0)+1)),"")</f>
        <v>Draft the amendment; share with the board before it is issued.</v>
      </c>
      <c r="F17" s="16" t="str">
        <f aca="false">IFERROR(IF(INDEX(Drafts!$I$1:$I$251,MATCH(SMALL(Calc!$A$4:$A$253,10),Calc!$A$4:$A$253,0)+1)="","",INDEX(Drafts!$I$1:$I$251,MATCH(SMALL(Calc!$A$4:$A$253,10),Calc!$A$4:$A$253,0)+1)),"")</f>
        <v/>
      </c>
      <c r="G17" s="17" t="n">
        <f aca="false">IFERROR(IF(INDEX(Drafts!$S$1:$S$251,MATCH(SMALL(Calc!$A$4:$A$253,10),Calc!$A$4:$A$253,0)+1)="","",INDEX(Drafts!$S$1:$S$251,MATCH(SMALL(Calc!$A$4:$A$253,10),Calc!$A$4:$A$253,0)+1)),"")</f>
        <v>0</v>
      </c>
      <c r="H17" s="15" t="str">
        <f aca="false">IFERROR(IF(INDEX(Drafts!$M$1:$M$251,MATCH(SMALL(Calc!$A$4:$A$253,10),Calc!$A$4:$A$253,0)+1)&amp;INDEX(Drafts!$N$1:$N$251,MATCH(SMALL(Calc!$A$4:$A$253,10),Calc!$A$4:$A$253,0)+1)="","",INDEX(Drafts!$M$1:$M$251,MATCH(SMALL(Calc!$A$4:$A$253,10),Calc!$A$4:$A$253,0)+1)&amp;": "&amp;INDEX(Drafts!$N$1:$N$251,MATCH(SMALL(Calc!$A$4:$A$253,10),Calc!$A$4:$A$253,0)+1)),"")</f>
        <v>BC regulation: To confirm</v>
      </c>
    </row>
    <row r="18" customFormat="false" ht="33.75" hidden="false" customHeight="true" outlineLevel="0" collapsed="false">
      <c r="A18" s="14" t="str">
        <f aca="false">IFERROR(IF(INDEX(Drafts!$A$1:$A$251,MATCH(SMALL(Calc!$A$4:$A$253,11),Calc!$A$4:$A$253,0)+1)="","",INDEX(Drafts!$A$1:$A$251,MATCH(SMALL(Calc!$A$4:$A$253,11),Calc!$A$4:$A$253,0)+1)),"")</f>
        <v>LE regs</v>
      </c>
      <c r="B18" s="15" t="str">
        <f aca="false">IFERROR(IF(INDEX(Drafts!$B$1:$B$251,MATCH(SMALL(Calc!$A$4:$A$253,11),Calc!$A$4:$A$253,0)+1)="","",INDEX(Drafts!$B$1:$B$251,MATCH(SMALL(Calc!$A$4:$A$253,11),Calc!$A$4:$A$253,0)+1)),"")</f>
        <v>School-Community Organizations regulations</v>
      </c>
      <c r="C18" s="15" t="str">
        <f aca="false">IFERROR(IF(INDEX(Drafts!$E$1:$E$251,MATCH(SMALL(Calc!$A$4:$A$253,11),Calc!$A$4:$A$253,0)+1)="","",INDEX(Drafts!$E$1:$E$251,MATCH(SMALL(Calc!$A$4:$A$253,11),Calc!$A$4:$A$253,0)+1)),"")</f>
        <v>Regulation work</v>
      </c>
      <c r="D18" s="15" t="str">
        <f aca="false">IFERROR(IF(INDEX(Drafts!$F$1:$F$251,MATCH(SMALL(Calc!$A$4:$A$253,11),Calc!$A$4:$A$253,0)+1)="","",INDEX(Drafts!$F$1:$F$251,MATCH(SMALL(Calc!$A$4:$A$253,11),Calc!$A$4:$A$253,0)+1)),"")</f>
        <v>Regulations not yet posted; a booster club regulation was submitted for review.</v>
      </c>
      <c r="E18" s="15" t="str">
        <f aca="false">IFERROR(IF(INDEX(Drafts!$H$1:$H$251,MATCH(SMALL(Calc!$A$4:$A$253,11),Calc!$A$4:$A$253,0)+1)="","",INDEX(Drafts!$H$1:$H$251,MATCH(SMALL(Calc!$A$4:$A$253,11),Calc!$A$4:$A$253,0)+1)),"")</f>
        <v>Finish the booster club regulation, then support organizations generally.</v>
      </c>
      <c r="F18" s="16" t="str">
        <f aca="false">IFERROR(IF(INDEX(Drafts!$I$1:$I$251,MATCH(SMALL(Calc!$A$4:$A$253,11),Calc!$A$4:$A$253,0)+1)="","",INDEX(Drafts!$I$1:$I$251,MATCH(SMALL(Calc!$A$4:$A$253,11),Calc!$A$4:$A$253,0)+1)),"")</f>
        <v/>
      </c>
      <c r="G18" s="17" t="n">
        <f aca="false">IFERROR(IF(INDEX(Drafts!$S$1:$S$251,MATCH(SMALL(Calc!$A$4:$A$253,11),Calc!$A$4:$A$253,0)+1)="","",INDEX(Drafts!$S$1:$S$251,MATCH(SMALL(Calc!$A$4:$A$253,11),Calc!$A$4:$A$253,0)+1)),"")</f>
        <v>0</v>
      </c>
      <c r="H18" s="15" t="str">
        <f aca="false">IFERROR(IF(INDEX(Drafts!$M$1:$M$251,MATCH(SMALL(Calc!$A$4:$A$253,11),Calc!$A$4:$A$253,0)+1)&amp;INDEX(Drafts!$N$1:$N$251,MATCH(SMALL(Calc!$A$4:$A$253,11),Calc!$A$4:$A$253,0)+1)="","",INDEX(Drafts!$M$1:$M$251,MATCH(SMALL(Calc!$A$4:$A$253,11),Calc!$A$4:$A$253,0)+1)&amp;": "&amp;INDEX(Drafts!$N$1:$N$251,MATCH(SMALL(Calc!$A$4:$A$253,11),Calc!$A$4:$A$253,0)+1)),"")</f>
        <v>LE regulations: Drafting</v>
      </c>
    </row>
    <row r="19" customFormat="false" ht="33.75" hidden="false" customHeight="true" outlineLevel="0" collapsed="false">
      <c r="A19" s="14" t="str">
        <f aca="false">IFERROR(IF(INDEX(Drafts!$A$1:$A$251,MATCH(SMALL(Calc!$A$4:$A$253,12),Calc!$A$4:$A$253,0)+1)="","",INDEX(Drafts!$A$1:$A$251,MATCH(SMALL(Calc!$A$4:$A$253,12),Calc!$A$4:$A$253,0)+1)),"")</f>
        <v/>
      </c>
      <c r="B19" s="15" t="str">
        <f aca="false">IFERROR(IF(INDEX(Drafts!$B$1:$B$251,MATCH(SMALL(Calc!$A$4:$A$253,12),Calc!$A$4:$A$253,0)+1)="","",INDEX(Drafts!$B$1:$B$251,MATCH(SMALL(Calc!$A$4:$A$253,12),Calc!$A$4:$A$253,0)+1)),"")</f>
        <v/>
      </c>
      <c r="C19" s="15" t="str">
        <f aca="false">IFERROR(IF(INDEX(Drafts!$E$1:$E$251,MATCH(SMALL(Calc!$A$4:$A$253,12),Calc!$A$4:$A$253,0)+1)="","",INDEX(Drafts!$E$1:$E$251,MATCH(SMALL(Calc!$A$4:$A$253,12),Calc!$A$4:$A$253,0)+1)),"")</f>
        <v/>
      </c>
      <c r="D19" s="15" t="str">
        <f aca="false">IFERROR(IF(INDEX(Drafts!$F$1:$F$251,MATCH(SMALL(Calc!$A$4:$A$253,12),Calc!$A$4:$A$253,0)+1)="","",INDEX(Drafts!$F$1:$F$251,MATCH(SMALL(Calc!$A$4:$A$253,12),Calc!$A$4:$A$253,0)+1)),"")</f>
        <v/>
      </c>
      <c r="E19" s="15" t="str">
        <f aca="false">IFERROR(IF(INDEX(Drafts!$H$1:$H$251,MATCH(SMALL(Calc!$A$4:$A$253,12),Calc!$A$4:$A$253,0)+1)="","",INDEX(Drafts!$H$1:$H$251,MATCH(SMALL(Calc!$A$4:$A$253,12),Calc!$A$4:$A$253,0)+1)),"")</f>
        <v/>
      </c>
      <c r="F19" s="16" t="str">
        <f aca="false">IFERROR(IF(INDEX(Drafts!$I$1:$I$251,MATCH(SMALL(Calc!$A$4:$A$253,12),Calc!$A$4:$A$253,0)+1)="","",INDEX(Drafts!$I$1:$I$251,MATCH(SMALL(Calc!$A$4:$A$253,12),Calc!$A$4:$A$253,0)+1)),"")</f>
        <v/>
      </c>
      <c r="G19" s="17" t="str">
        <f aca="false">IFERROR(IF(INDEX(Drafts!$S$1:$S$251,MATCH(SMALL(Calc!$A$4:$A$253,12),Calc!$A$4:$A$253,0)+1)="","",INDEX(Drafts!$S$1:$S$251,MATCH(SMALL(Calc!$A$4:$A$253,12),Calc!$A$4:$A$253,0)+1)),"")</f>
        <v/>
      </c>
      <c r="H19" s="15" t="str">
        <f aca="false">IFERROR(IF(INDEX(Drafts!$M$1:$M$251,MATCH(SMALL(Calc!$A$4:$A$253,12),Calc!$A$4:$A$253,0)+1)&amp;INDEX(Drafts!$N$1:$N$251,MATCH(SMALL(Calc!$A$4:$A$253,12),Calc!$A$4:$A$253,0)+1)="","",INDEX(Drafts!$M$1:$M$251,MATCH(SMALL(Calc!$A$4:$A$253,12),Calc!$A$4:$A$253,0)+1)&amp;": "&amp;INDEX(Drafts!$N$1:$N$251,MATCH(SMALL(Calc!$A$4:$A$253,12),Calc!$A$4:$A$253,0)+1)),"")</f>
        <v/>
      </c>
    </row>
    <row r="20" customFormat="false" ht="33.75" hidden="false" customHeight="true" outlineLevel="0" collapsed="false">
      <c r="A20" s="14" t="str">
        <f aca="false">IFERROR(IF(INDEX(Drafts!$A$1:$A$251,MATCH(SMALL(Calc!$A$4:$A$253,13),Calc!$A$4:$A$253,0)+1)="","",INDEX(Drafts!$A$1:$A$251,MATCH(SMALL(Calc!$A$4:$A$253,13),Calc!$A$4:$A$253,0)+1)),"")</f>
        <v/>
      </c>
      <c r="B20" s="15" t="str">
        <f aca="false">IFERROR(IF(INDEX(Drafts!$B$1:$B$251,MATCH(SMALL(Calc!$A$4:$A$253,13),Calc!$A$4:$A$253,0)+1)="","",INDEX(Drafts!$B$1:$B$251,MATCH(SMALL(Calc!$A$4:$A$253,13),Calc!$A$4:$A$253,0)+1)),"")</f>
        <v/>
      </c>
      <c r="C20" s="15" t="str">
        <f aca="false">IFERROR(IF(INDEX(Drafts!$E$1:$E$251,MATCH(SMALL(Calc!$A$4:$A$253,13),Calc!$A$4:$A$253,0)+1)="","",INDEX(Drafts!$E$1:$E$251,MATCH(SMALL(Calc!$A$4:$A$253,13),Calc!$A$4:$A$253,0)+1)),"")</f>
        <v/>
      </c>
      <c r="D20" s="15" t="str">
        <f aca="false">IFERROR(IF(INDEX(Drafts!$F$1:$F$251,MATCH(SMALL(Calc!$A$4:$A$253,13),Calc!$A$4:$A$253,0)+1)="","",INDEX(Drafts!$F$1:$F$251,MATCH(SMALL(Calc!$A$4:$A$253,13),Calc!$A$4:$A$253,0)+1)),"")</f>
        <v/>
      </c>
      <c r="E20" s="15" t="str">
        <f aca="false">IFERROR(IF(INDEX(Drafts!$H$1:$H$251,MATCH(SMALL(Calc!$A$4:$A$253,13),Calc!$A$4:$A$253,0)+1)="","",INDEX(Drafts!$H$1:$H$251,MATCH(SMALL(Calc!$A$4:$A$253,13),Calc!$A$4:$A$253,0)+1)),"")</f>
        <v/>
      </c>
      <c r="F20" s="16" t="str">
        <f aca="false">IFERROR(IF(INDEX(Drafts!$I$1:$I$251,MATCH(SMALL(Calc!$A$4:$A$253,13),Calc!$A$4:$A$253,0)+1)="","",INDEX(Drafts!$I$1:$I$251,MATCH(SMALL(Calc!$A$4:$A$253,13),Calc!$A$4:$A$253,0)+1)),"")</f>
        <v/>
      </c>
      <c r="G20" s="17" t="str">
        <f aca="false">IFERROR(IF(INDEX(Drafts!$S$1:$S$251,MATCH(SMALL(Calc!$A$4:$A$253,13),Calc!$A$4:$A$253,0)+1)="","",INDEX(Drafts!$S$1:$S$251,MATCH(SMALL(Calc!$A$4:$A$253,13),Calc!$A$4:$A$253,0)+1)),"")</f>
        <v/>
      </c>
      <c r="H20" s="15" t="str">
        <f aca="false">IFERROR(IF(INDEX(Drafts!$M$1:$M$251,MATCH(SMALL(Calc!$A$4:$A$253,13),Calc!$A$4:$A$253,0)+1)&amp;INDEX(Drafts!$N$1:$N$251,MATCH(SMALL(Calc!$A$4:$A$253,13),Calc!$A$4:$A$253,0)+1)="","",INDEX(Drafts!$M$1:$M$251,MATCH(SMALL(Calc!$A$4:$A$253,13),Calc!$A$4:$A$253,0)+1)&amp;": "&amp;INDEX(Drafts!$N$1:$N$251,MATCH(SMALL(Calc!$A$4:$A$253,13),Calc!$A$4:$A$253,0)+1)),"")</f>
        <v/>
      </c>
    </row>
    <row r="21" customFormat="false" ht="33.75" hidden="false" customHeight="true" outlineLevel="0" collapsed="false">
      <c r="A21" s="14" t="str">
        <f aca="false">IFERROR(IF(INDEX(Drafts!$A$1:$A$251,MATCH(SMALL(Calc!$A$4:$A$253,14),Calc!$A$4:$A$253,0)+1)="","",INDEX(Drafts!$A$1:$A$251,MATCH(SMALL(Calc!$A$4:$A$253,14),Calc!$A$4:$A$253,0)+1)),"")</f>
        <v/>
      </c>
      <c r="B21" s="15" t="str">
        <f aca="false">IFERROR(IF(INDEX(Drafts!$B$1:$B$251,MATCH(SMALL(Calc!$A$4:$A$253,14),Calc!$A$4:$A$253,0)+1)="","",INDEX(Drafts!$B$1:$B$251,MATCH(SMALL(Calc!$A$4:$A$253,14),Calc!$A$4:$A$253,0)+1)),"")</f>
        <v/>
      </c>
      <c r="C21" s="15" t="str">
        <f aca="false">IFERROR(IF(INDEX(Drafts!$E$1:$E$251,MATCH(SMALL(Calc!$A$4:$A$253,14),Calc!$A$4:$A$253,0)+1)="","",INDEX(Drafts!$E$1:$E$251,MATCH(SMALL(Calc!$A$4:$A$253,14),Calc!$A$4:$A$253,0)+1)),"")</f>
        <v/>
      </c>
      <c r="D21" s="15" t="str">
        <f aca="false">IFERROR(IF(INDEX(Drafts!$F$1:$F$251,MATCH(SMALL(Calc!$A$4:$A$253,14),Calc!$A$4:$A$253,0)+1)="","",INDEX(Drafts!$F$1:$F$251,MATCH(SMALL(Calc!$A$4:$A$253,14),Calc!$A$4:$A$253,0)+1)),"")</f>
        <v/>
      </c>
      <c r="E21" s="15" t="str">
        <f aca="false">IFERROR(IF(INDEX(Drafts!$H$1:$H$251,MATCH(SMALL(Calc!$A$4:$A$253,14),Calc!$A$4:$A$253,0)+1)="","",INDEX(Drafts!$H$1:$H$251,MATCH(SMALL(Calc!$A$4:$A$253,14),Calc!$A$4:$A$253,0)+1)),"")</f>
        <v/>
      </c>
      <c r="F21" s="16" t="str">
        <f aca="false">IFERROR(IF(INDEX(Drafts!$I$1:$I$251,MATCH(SMALL(Calc!$A$4:$A$253,14),Calc!$A$4:$A$253,0)+1)="","",INDEX(Drafts!$I$1:$I$251,MATCH(SMALL(Calc!$A$4:$A$253,14),Calc!$A$4:$A$253,0)+1)),"")</f>
        <v/>
      </c>
      <c r="G21" s="17" t="str">
        <f aca="false">IFERROR(IF(INDEX(Drafts!$S$1:$S$251,MATCH(SMALL(Calc!$A$4:$A$253,14),Calc!$A$4:$A$253,0)+1)="","",INDEX(Drafts!$S$1:$S$251,MATCH(SMALL(Calc!$A$4:$A$253,14),Calc!$A$4:$A$253,0)+1)),"")</f>
        <v/>
      </c>
      <c r="H21" s="15" t="str">
        <f aca="false">IFERROR(IF(INDEX(Drafts!$M$1:$M$251,MATCH(SMALL(Calc!$A$4:$A$253,14),Calc!$A$4:$A$253,0)+1)&amp;INDEX(Drafts!$N$1:$N$251,MATCH(SMALL(Calc!$A$4:$A$253,14),Calc!$A$4:$A$253,0)+1)="","",INDEX(Drafts!$M$1:$M$251,MATCH(SMALL(Calc!$A$4:$A$253,14),Calc!$A$4:$A$253,0)+1)&amp;": "&amp;INDEX(Drafts!$N$1:$N$251,MATCH(SMALL(Calc!$A$4:$A$253,14),Calc!$A$4:$A$253,0)+1)),"")</f>
        <v/>
      </c>
    </row>
    <row r="22" customFormat="false" ht="33.75" hidden="false" customHeight="true" outlineLevel="0" collapsed="false">
      <c r="A22" s="14" t="str">
        <f aca="false">IFERROR(IF(INDEX(Drafts!$A$1:$A$251,MATCH(SMALL(Calc!$A$4:$A$253,15),Calc!$A$4:$A$253,0)+1)="","",INDEX(Drafts!$A$1:$A$251,MATCH(SMALL(Calc!$A$4:$A$253,15),Calc!$A$4:$A$253,0)+1)),"")</f>
        <v/>
      </c>
      <c r="B22" s="15" t="str">
        <f aca="false">IFERROR(IF(INDEX(Drafts!$B$1:$B$251,MATCH(SMALL(Calc!$A$4:$A$253,15),Calc!$A$4:$A$253,0)+1)="","",INDEX(Drafts!$B$1:$B$251,MATCH(SMALL(Calc!$A$4:$A$253,15),Calc!$A$4:$A$253,0)+1)),"")</f>
        <v/>
      </c>
      <c r="C22" s="15" t="str">
        <f aca="false">IFERROR(IF(INDEX(Drafts!$E$1:$E$251,MATCH(SMALL(Calc!$A$4:$A$253,15),Calc!$A$4:$A$253,0)+1)="","",INDEX(Drafts!$E$1:$E$251,MATCH(SMALL(Calc!$A$4:$A$253,15),Calc!$A$4:$A$253,0)+1)),"")</f>
        <v/>
      </c>
      <c r="D22" s="15" t="str">
        <f aca="false">IFERROR(IF(INDEX(Drafts!$F$1:$F$251,MATCH(SMALL(Calc!$A$4:$A$253,15),Calc!$A$4:$A$253,0)+1)="","",INDEX(Drafts!$F$1:$F$251,MATCH(SMALL(Calc!$A$4:$A$253,15),Calc!$A$4:$A$253,0)+1)),"")</f>
        <v/>
      </c>
      <c r="E22" s="15" t="str">
        <f aca="false">IFERROR(IF(INDEX(Drafts!$H$1:$H$251,MATCH(SMALL(Calc!$A$4:$A$253,15),Calc!$A$4:$A$253,0)+1)="","",INDEX(Drafts!$H$1:$H$251,MATCH(SMALL(Calc!$A$4:$A$253,15),Calc!$A$4:$A$253,0)+1)),"")</f>
        <v/>
      </c>
      <c r="F22" s="16" t="str">
        <f aca="false">IFERROR(IF(INDEX(Drafts!$I$1:$I$251,MATCH(SMALL(Calc!$A$4:$A$253,15),Calc!$A$4:$A$253,0)+1)="","",INDEX(Drafts!$I$1:$I$251,MATCH(SMALL(Calc!$A$4:$A$253,15),Calc!$A$4:$A$253,0)+1)),"")</f>
        <v/>
      </c>
      <c r="G22" s="17" t="str">
        <f aca="false">IFERROR(IF(INDEX(Drafts!$S$1:$S$251,MATCH(SMALL(Calc!$A$4:$A$253,15),Calc!$A$4:$A$253,0)+1)="","",INDEX(Drafts!$S$1:$S$251,MATCH(SMALL(Calc!$A$4:$A$253,15),Calc!$A$4:$A$253,0)+1)),"")</f>
        <v/>
      </c>
      <c r="H22" s="15" t="str">
        <f aca="false">IFERROR(IF(INDEX(Drafts!$M$1:$M$251,MATCH(SMALL(Calc!$A$4:$A$253,15),Calc!$A$4:$A$253,0)+1)&amp;INDEX(Drafts!$N$1:$N$251,MATCH(SMALL(Calc!$A$4:$A$253,15),Calc!$A$4:$A$253,0)+1)="","",INDEX(Drafts!$M$1:$M$251,MATCH(SMALL(Calc!$A$4:$A$253,15),Calc!$A$4:$A$253,0)+1)&amp;": "&amp;INDEX(Drafts!$N$1:$N$251,MATCH(SMALL(Calc!$A$4:$A$253,15),Calc!$A$4:$A$253,0)+1)),"")</f>
        <v/>
      </c>
    </row>
    <row r="23" customFormat="false" ht="33.75" hidden="false" customHeight="true" outlineLevel="0" collapsed="false">
      <c r="A23" s="14" t="str">
        <f aca="false">IFERROR(IF(INDEX(Drafts!$A$1:$A$251,MATCH(SMALL(Calc!$A$4:$A$253,16),Calc!$A$4:$A$253,0)+1)="","",INDEX(Drafts!$A$1:$A$251,MATCH(SMALL(Calc!$A$4:$A$253,16),Calc!$A$4:$A$253,0)+1)),"")</f>
        <v/>
      </c>
      <c r="B23" s="15" t="str">
        <f aca="false">IFERROR(IF(INDEX(Drafts!$B$1:$B$251,MATCH(SMALL(Calc!$A$4:$A$253,16),Calc!$A$4:$A$253,0)+1)="","",INDEX(Drafts!$B$1:$B$251,MATCH(SMALL(Calc!$A$4:$A$253,16),Calc!$A$4:$A$253,0)+1)),"")</f>
        <v/>
      </c>
      <c r="C23" s="15" t="str">
        <f aca="false">IFERROR(IF(INDEX(Drafts!$E$1:$E$251,MATCH(SMALL(Calc!$A$4:$A$253,16),Calc!$A$4:$A$253,0)+1)="","",INDEX(Drafts!$E$1:$E$251,MATCH(SMALL(Calc!$A$4:$A$253,16),Calc!$A$4:$A$253,0)+1)),"")</f>
        <v/>
      </c>
      <c r="D23" s="15" t="str">
        <f aca="false">IFERROR(IF(INDEX(Drafts!$F$1:$F$251,MATCH(SMALL(Calc!$A$4:$A$253,16),Calc!$A$4:$A$253,0)+1)="","",INDEX(Drafts!$F$1:$F$251,MATCH(SMALL(Calc!$A$4:$A$253,16),Calc!$A$4:$A$253,0)+1)),"")</f>
        <v/>
      </c>
      <c r="E23" s="15" t="str">
        <f aca="false">IFERROR(IF(INDEX(Drafts!$H$1:$H$251,MATCH(SMALL(Calc!$A$4:$A$253,16),Calc!$A$4:$A$253,0)+1)="","",INDEX(Drafts!$H$1:$H$251,MATCH(SMALL(Calc!$A$4:$A$253,16),Calc!$A$4:$A$253,0)+1)),"")</f>
        <v/>
      </c>
      <c r="F23" s="16" t="str">
        <f aca="false">IFERROR(IF(INDEX(Drafts!$I$1:$I$251,MATCH(SMALL(Calc!$A$4:$A$253,16),Calc!$A$4:$A$253,0)+1)="","",INDEX(Drafts!$I$1:$I$251,MATCH(SMALL(Calc!$A$4:$A$253,16),Calc!$A$4:$A$253,0)+1)),"")</f>
        <v/>
      </c>
      <c r="G23" s="17" t="str">
        <f aca="false">IFERROR(IF(INDEX(Drafts!$S$1:$S$251,MATCH(SMALL(Calc!$A$4:$A$253,16),Calc!$A$4:$A$253,0)+1)="","",INDEX(Drafts!$S$1:$S$251,MATCH(SMALL(Calc!$A$4:$A$253,16),Calc!$A$4:$A$253,0)+1)),"")</f>
        <v/>
      </c>
      <c r="H23" s="15" t="str">
        <f aca="false">IFERROR(IF(INDEX(Drafts!$M$1:$M$251,MATCH(SMALL(Calc!$A$4:$A$253,16),Calc!$A$4:$A$253,0)+1)&amp;INDEX(Drafts!$N$1:$N$251,MATCH(SMALL(Calc!$A$4:$A$253,16),Calc!$A$4:$A$253,0)+1)="","",INDEX(Drafts!$M$1:$M$251,MATCH(SMALL(Calc!$A$4:$A$253,16),Calc!$A$4:$A$253,0)+1)&amp;": "&amp;INDEX(Drafts!$N$1:$N$251,MATCH(SMALL(Calc!$A$4:$A$253,16),Calc!$A$4:$A$253,0)+1)),"")</f>
        <v/>
      </c>
    </row>
    <row r="24" customFormat="false" ht="15" hidden="false" customHeight="false" outlineLevel="0" collapsed="false">
      <c r="A24" s="18" t="str">
        <f aca="false">IF(COUNT(Calc!$A$4:$A$253)&gt;16,"+ "&amp;(COUNT(Calc!$A$4:$A$253)-16)&amp;" more open items, not shown. Filter the Drafts tab to see them.","")</f>
        <v/>
      </c>
      <c r="B24" s="18"/>
      <c r="C24" s="18"/>
      <c r="D24" s="18"/>
      <c r="E24" s="18"/>
      <c r="F24" s="18"/>
      <c r="G24" s="18"/>
      <c r="H24" s="18"/>
    </row>
    <row r="25" customFormat="false" ht="15" hidden="false" customHeight="true" outlineLevel="0" collapsed="false">
      <c r="A25" s="19" t="s">
        <v>19</v>
      </c>
      <c r="B25" s="19"/>
      <c r="C25" s="19"/>
      <c r="D25" s="19"/>
      <c r="E25" s="19"/>
      <c r="F25" s="19"/>
      <c r="G25" s="19"/>
      <c r="H25" s="19"/>
    </row>
    <row r="26" customFormat="false" ht="15" hidden="false" customHeight="true" outlineLevel="0" collapsed="false">
      <c r="A26" s="13" t="s">
        <v>20</v>
      </c>
      <c r="B26" s="20" t="s">
        <v>21</v>
      </c>
      <c r="C26" s="20"/>
      <c r="D26" s="20"/>
      <c r="E26" s="20"/>
      <c r="F26" s="20"/>
      <c r="G26" s="13" t="s">
        <v>22</v>
      </c>
      <c r="H26" s="13" t="s">
        <v>23</v>
      </c>
    </row>
    <row r="27" customFormat="false" ht="18" hidden="false" customHeight="true" outlineLevel="0" collapsed="false">
      <c r="A27" s="21" t="str">
        <f aca="false">IFERROR(INDEX('Deferred edits'!$C$2:$C$201,MATCH(1,Calc!$J$4:$J$203,0)),"")</f>
        <v>DFK</v>
      </c>
      <c r="B27" s="21" t="str">
        <f aca="false">IFERROR(IF(INDEX('Deferred edits'!$J$2:$J$201,MATCH(1,Calc!$J$4:$J$203,0))="Proposed",IF(RIGHT(INDEX('Deferred edits'!$D$2:$D$201,MATCH(1,Calc!$J$4:$J$203,0)),1)=".",LEFT(INDEX('Deferred edits'!$D$2:$D$201,MATCH(1,Calc!$J$4:$J$203,0)),LEN(INDEX('Deferred edits'!$D$2:$D$201,MATCH(1,Calc!$J$4:$J$203,0)))-1)&amp;" (proposed).",INDEX('Deferred edits'!$D$2:$D$201,MATCH(1,Calc!$J$4:$J$203,0))&amp;" (proposed)"),INDEX('Deferred edits'!$D$2:$D$201,MATCH(1,Calc!$J$4:$J$203,0))),"")</f>
        <v>Move the donor-influence sentence from KEB to DFK.</v>
      </c>
      <c r="C27" s="21"/>
      <c r="D27" s="21"/>
      <c r="E27" s="21"/>
      <c r="F27" s="21"/>
      <c r="G27" s="22" t="n">
        <f aca="false">IFERROR(INDEX('Deferred edits'!$E$2:$E$201,MATCH(1,Calc!$J$4:$J$203,0)),"")</f>
        <v>46296</v>
      </c>
      <c r="H27" s="21" t="str">
        <f aca="false">IFERROR(INDEX('Deferred edits'!$I$2:$I$201,MATCH(1,Calc!$J$4:$J$203,0)),"")</f>
        <v>Waiting</v>
      </c>
    </row>
    <row r="28" customFormat="false" ht="18" hidden="false" customHeight="true" outlineLevel="0" collapsed="false">
      <c r="A28" s="21" t="str">
        <f aca="false">IFERROR(INDEX('Deferred edits'!$C$2:$C$201,MATCH(2,Calc!$J$4:$J$203,0)),"")</f>
        <v>GANA</v>
      </c>
      <c r="B28" s="21" t="str">
        <f aca="false">IFERROR(IF(INDEX('Deferred edits'!$J$2:$J$201,MATCH(2,Calc!$J$4:$J$203,0))="Proposed",IF(RIGHT(INDEX('Deferred edits'!$D$2:$D$201,MATCH(2,Calc!$J$4:$J$203,0)),1)=".",LEFT(INDEX('Deferred edits'!$D$2:$D$201,MATCH(2,Calc!$J$4:$J$203,0)),LEN(INDEX('Deferred edits'!$D$2:$D$201,MATCH(2,Calc!$J$4:$J$203,0)))-1)&amp;" (proposed).",INDEX('Deferred edits'!$D$2:$D$201,MATCH(2,Calc!$J$4:$J$203,0))&amp;" (proposed)"),INDEX('Deferred edits'!$D$2:$D$201,MATCH(2,Calc!$J$4:$J$203,0))),"")</f>
        <v>GANA names JGCC, which is not in the manual (JGCC-R is). Update the cross-reference.</v>
      </c>
      <c r="C28" s="21"/>
      <c r="D28" s="21"/>
      <c r="E28" s="21"/>
      <c r="F28" s="21"/>
      <c r="G28" s="22" t="n">
        <f aca="false">IFERROR(INDEX('Deferred edits'!$E$2:$E$201,MATCH(2,Calc!$J$4:$J$203,0)),"")</f>
        <v>46303</v>
      </c>
      <c r="H28" s="21" t="str">
        <f aca="false">IFERROR(INDEX('Deferred edits'!$I$2:$I$201,MATCH(2,Calc!$J$4:$J$203,0)),"")</f>
        <v>Waiting</v>
      </c>
    </row>
    <row r="29" customFormat="false" ht="18" hidden="false" customHeight="true" outlineLevel="0" collapsed="false">
      <c r="A29" s="21" t="str">
        <f aca="false">IFERROR(INDEX('Deferred edits'!$C$2:$C$201,MATCH(3,Calc!$J$4:$J$203,0)),"")</f>
        <v>GBA</v>
      </c>
      <c r="B29" s="21" t="str">
        <f aca="false">IFERROR(IF(INDEX('Deferred edits'!$J$2:$J$201,MATCH(3,Calc!$J$4:$J$203,0))="Proposed",IF(RIGHT(INDEX('Deferred edits'!$D$2:$D$201,MATCH(3,Calc!$J$4:$J$203,0)),1)=".",LEFT(INDEX('Deferred edits'!$D$2:$D$201,MATCH(3,Calc!$J$4:$J$203,0)),LEN(INDEX('Deferred edits'!$D$2:$D$201,MATCH(3,Calc!$J$4:$J$203,0)))-1)&amp;" (proposed).",INDEX('Deferred edits'!$D$2:$D$201,MATCH(3,Calc!$J$4:$J$203,0))&amp;" (proposed)"),INDEX('Deferred edits'!$D$2:$D$201,MATCH(3,Calc!$J$4:$J$203,0))),"")</f>
        <v>GBA names GDA-E(1), which is not in the manual. Update the cross-reference.</v>
      </c>
      <c r="C29" s="21"/>
      <c r="D29" s="21"/>
      <c r="E29" s="21"/>
      <c r="F29" s="21"/>
      <c r="G29" s="22" t="n">
        <f aca="false">IFERROR(INDEX('Deferred edits'!$E$2:$E$201,MATCH(3,Calc!$J$4:$J$203,0)),"")</f>
        <v>46303</v>
      </c>
      <c r="H29" s="21" t="str">
        <f aca="false">IFERROR(INDEX('Deferred edits'!$I$2:$I$201,MATCH(3,Calc!$J$4:$J$203,0)),"")</f>
        <v>Waiting</v>
      </c>
    </row>
    <row r="30" customFormat="false" ht="18" hidden="false" customHeight="true" outlineLevel="0" collapsed="false">
      <c r="A30" s="21" t="str">
        <f aca="false">IFERROR(INDEX('Deferred edits'!$C$2:$C$201,MATCH(4,Calc!$J$4:$J$203,0)),"")</f>
        <v>JBC(1)-R(1)</v>
      </c>
      <c r="B30" s="21" t="str">
        <f aca="false">IFERROR(IF(INDEX('Deferred edits'!$J$2:$J$201,MATCH(4,Calc!$J$4:$J$203,0))="Proposed",IF(RIGHT(INDEX('Deferred edits'!$D$2:$D$201,MATCH(4,Calc!$J$4:$J$203,0)),1)=".",LEFT(INDEX('Deferred edits'!$D$2:$D$201,MATCH(4,Calc!$J$4:$J$203,0)),LEN(INDEX('Deferred edits'!$D$2:$D$201,MATCH(4,Calc!$J$4:$J$203,0)))-1)&amp;" (proposed).",INDEX('Deferred edits'!$D$2:$D$201,MATCH(4,Calc!$J$4:$J$203,0))&amp;" (proposed)"),INDEX('Deferred edits'!$D$2:$D$201,MATCH(4,Calc!$J$4:$J$203,0))),"")</f>
        <v>JBC(1)-R(1) names JCE, which is not in the manual. Update the cross-reference.</v>
      </c>
      <c r="C30" s="21"/>
      <c r="D30" s="21"/>
      <c r="E30" s="21"/>
      <c r="F30" s="21"/>
      <c r="G30" s="22" t="n">
        <f aca="false">IFERROR(INDEX('Deferred edits'!$E$2:$E$201,MATCH(4,Calc!$J$4:$J$203,0)),"")</f>
        <v>46303</v>
      </c>
      <c r="H30" s="21" t="str">
        <f aca="false">IFERROR(INDEX('Deferred edits'!$I$2:$I$201,MATCH(4,Calc!$J$4:$J$203,0)),"")</f>
        <v>Waiting</v>
      </c>
    </row>
    <row r="31" customFormat="false" ht="18" hidden="false" customHeight="true" outlineLevel="0" collapsed="false">
      <c r="A31" s="21" t="str">
        <f aca="false">IFERROR(INDEX('Deferred edits'!$C$2:$C$201,MATCH(5,Calc!$J$4:$J$203,0)),"")</f>
        <v>IFBG</v>
      </c>
      <c r="B31" s="21" t="str">
        <f aca="false">IFERROR(IF(INDEX('Deferred edits'!$J$2:$J$201,MATCH(5,Calc!$J$4:$J$203,0))="Proposed",IF(RIGHT(INDEX('Deferred edits'!$D$2:$D$201,MATCH(5,Calc!$J$4:$J$203,0)),1)=".",LEFT(INDEX('Deferred edits'!$D$2:$D$201,MATCH(5,Calc!$J$4:$J$203,0)),LEN(INDEX('Deferred edits'!$D$2:$D$201,MATCH(5,Calc!$J$4:$J$203,0)))-1)&amp;" (proposed).",INDEX('Deferred edits'!$D$2:$D$201,MATCH(5,Calc!$J$4:$J$203,0))&amp;" (proposed)"),INDEX('Deferred edits'!$D$2:$D$201,MATCH(5,Calc!$J$4:$J$203,0))),"")</f>
        <v>Add a cross-reference between IFBG and IFBI so the two policies point to each other (proposed).</v>
      </c>
      <c r="C31" s="21"/>
      <c r="D31" s="21"/>
      <c r="E31" s="21"/>
      <c r="F31" s="21"/>
      <c r="G31" s="22" t="n">
        <f aca="false">IFERROR(INDEX('Deferred edits'!$E$2:$E$201,MATCH(5,Calc!$J$4:$J$203,0)),"")</f>
        <v>46307</v>
      </c>
      <c r="H31" s="21" t="str">
        <f aca="false">IFERROR(INDEX('Deferred edits'!$I$2:$I$201,MATCH(5,Calc!$J$4:$J$203,0)),"")</f>
        <v>● Ready to pick up</v>
      </c>
    </row>
    <row r="32" customFormat="false" ht="18" hidden="false" customHeight="true" outlineLevel="0" collapsed="false">
      <c r="A32" s="21" t="str">
        <f aca="false">IFERROR(INDEX('Deferred edits'!$C$2:$C$201,MATCH(6,Calc!$J$4:$J$203,0)),"")</f>
        <v/>
      </c>
      <c r="B32" s="21" t="str">
        <f aca="false">IFERROR(IF(INDEX('Deferred edits'!$J$2:$J$201,MATCH(6,Calc!$J$4:$J$203,0))="Proposed",IF(RIGHT(INDEX('Deferred edits'!$D$2:$D$201,MATCH(6,Calc!$J$4:$J$203,0)),1)=".",LEFT(INDEX('Deferred edits'!$D$2:$D$201,MATCH(6,Calc!$J$4:$J$203,0)),LEN(INDEX('Deferred edits'!$D$2:$D$201,MATCH(6,Calc!$J$4:$J$203,0)))-1)&amp;" (proposed).",INDEX('Deferred edits'!$D$2:$D$201,MATCH(6,Calc!$J$4:$J$203,0))&amp;" (proposed)"),INDEX('Deferred edits'!$D$2:$D$201,MATCH(6,Calc!$J$4:$J$203,0))),"")</f>
        <v/>
      </c>
      <c r="C32" s="21"/>
      <c r="D32" s="21"/>
      <c r="E32" s="21"/>
      <c r="F32" s="21"/>
      <c r="G32" s="22" t="str">
        <f aca="false">IFERROR(INDEX('Deferred edits'!$E$2:$E$201,MATCH(6,Calc!$J$4:$J$203,0)),"")</f>
        <v/>
      </c>
      <c r="H32" s="21" t="str">
        <f aca="false">IFERROR(INDEX('Deferred edits'!$I$2:$I$201,MATCH(6,Calc!$J$4:$J$203,0)),"")</f>
        <v/>
      </c>
    </row>
    <row r="34" customFormat="false" ht="27.75" hidden="false" customHeight="true" outlineLevel="0" collapsed="false">
      <c r="A34" s="23" t="s">
        <v>24</v>
      </c>
      <c r="B34" s="23"/>
      <c r="C34" s="23"/>
      <c r="D34" s="23"/>
      <c r="E34" s="23"/>
      <c r="F34" s="23"/>
      <c r="G34" s="23"/>
      <c r="H34" s="23"/>
    </row>
  </sheetData>
  <mergeCells count="19">
    <mergeCell ref="A1:H1"/>
    <mergeCell ref="A2:H2"/>
    <mergeCell ref="A4:B4"/>
    <mergeCell ref="C4:D4"/>
    <mergeCell ref="F4:G4"/>
    <mergeCell ref="A5:B5"/>
    <mergeCell ref="C5:D5"/>
    <mergeCell ref="F5:G5"/>
    <mergeCell ref="F6:G6"/>
    <mergeCell ref="A24:H24"/>
    <mergeCell ref="A25:H25"/>
    <mergeCell ref="B26:F26"/>
    <mergeCell ref="B27:F27"/>
    <mergeCell ref="B28:F28"/>
    <mergeCell ref="B29:F29"/>
    <mergeCell ref="B30:F30"/>
    <mergeCell ref="B31:F31"/>
    <mergeCell ref="B32:F32"/>
    <mergeCell ref="A34:H34"/>
  </mergeCells>
  <conditionalFormatting sqref="C8:C23">
    <cfRule type="expression" priority="2" aboveAverage="0" equalAverage="0" bottom="0" percent="0" rank="0" text="" dxfId="0">
      <formula>OR(C8="Ready for action",C8="Second read",C8="First read: comment window")</formula>
    </cfRule>
    <cfRule type="expression" priority="3" aboveAverage="0" equalAverage="0" bottom="0" percent="0" rank="0" text="" dxfId="1">
      <formula>OR(C8="Back in committee",C8="Committee review")</formula>
    </cfRule>
    <cfRule type="expression" priority="4" aboveAverage="0" equalAverage="0" bottom="0" percent="0" rank="0" text="" dxfId="2">
      <formula>OR(C8="Held",C8="Drafting",C8="Regulation work")</formula>
    </cfRule>
    <cfRule type="expression" priority="5" aboveAverage="0" equalAverage="0" bottom="0" percent="0" rank="0" text="" dxfId="3">
      <formula>OR(C8="Adopted",C8="Withdrawn")</formula>
    </cfRule>
  </conditionalFormatting>
  <conditionalFormatting sqref="F8:F23">
    <cfRule type="expression" priority="6" aboveAverage="0" equalAverage="0" bottom="0" percent="0" rank="0" text="" dxfId="4">
      <formula>AND(ISNUMBER(F8),F8&lt;=AsOfDate+7)</formula>
    </cfRule>
  </conditionalFormatting>
  <conditionalFormatting sqref="G8:G23">
    <cfRule type="expression" priority="7" aboveAverage="0" equalAverage="0" bottom="0" percent="0" rank="0" text="" dxfId="4">
      <formula>AND(ISNUMBER(G8),G8&gt;0)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20"/>
    <col collapsed="false" customWidth="true" hidden="false" outlineLevel="0" max="3" min="3" style="0" width="104"/>
  </cols>
  <sheetData>
    <row r="1" customFormat="false" ht="30" hidden="false" customHeight="true" outlineLevel="0" collapsed="false">
      <c r="A1" s="1" t="s">
        <v>25</v>
      </c>
      <c r="B1" s="1"/>
      <c r="C1" s="1"/>
    </row>
    <row r="2" customFormat="false" ht="15" hidden="false" customHeight="true" outlineLevel="0" collapsed="false">
      <c r="A2" s="2" t="s">
        <v>26</v>
      </c>
      <c r="B2" s="2"/>
      <c r="C2" s="2"/>
    </row>
    <row r="4" customFormat="false" ht="21.75" hidden="false" customHeight="true" outlineLevel="0" collapsed="false">
      <c r="A4" s="24" t="s">
        <v>27</v>
      </c>
      <c r="B4" s="24" t="s">
        <v>28</v>
      </c>
      <c r="C4" s="24" t="s">
        <v>29</v>
      </c>
    </row>
    <row r="5" customFormat="false" ht="46.5" hidden="false" customHeight="true" outlineLevel="0" collapsed="false">
      <c r="A5" s="25" t="s">
        <v>30</v>
      </c>
      <c r="B5" s="26" t="s">
        <v>31</v>
      </c>
      <c r="C5" s="27" t="s">
        <v>32</v>
      </c>
    </row>
    <row r="6" customFormat="false" ht="72.75" hidden="false" customHeight="true" outlineLevel="0" collapsed="false">
      <c r="A6" s="28" t="s">
        <v>33</v>
      </c>
      <c r="B6" s="29" t="s">
        <v>34</v>
      </c>
      <c r="C6" s="30" t="s">
        <v>35</v>
      </c>
    </row>
    <row r="7" customFormat="false" ht="72.75" hidden="false" customHeight="true" outlineLevel="0" collapsed="false">
      <c r="A7" s="25" t="s">
        <v>36</v>
      </c>
      <c r="B7" s="26" t="s">
        <v>37</v>
      </c>
      <c r="C7" s="27" t="s">
        <v>38</v>
      </c>
    </row>
    <row r="8" customFormat="false" ht="46.5" hidden="false" customHeight="true" outlineLevel="0" collapsed="false">
      <c r="A8" s="28" t="s">
        <v>39</v>
      </c>
      <c r="B8" s="29" t="s">
        <v>40</v>
      </c>
      <c r="C8" s="30" t="s">
        <v>41</v>
      </c>
    </row>
    <row r="9" customFormat="false" ht="33.75" hidden="false" customHeight="true" outlineLevel="0" collapsed="false">
      <c r="A9" s="25" t="s">
        <v>42</v>
      </c>
      <c r="B9" s="26" t="s">
        <v>43</v>
      </c>
      <c r="C9" s="27" t="s">
        <v>44</v>
      </c>
    </row>
    <row r="10" customFormat="false" ht="60" hidden="false" customHeight="true" outlineLevel="0" collapsed="false">
      <c r="A10" s="28" t="s">
        <v>45</v>
      </c>
      <c r="B10" s="29" t="s">
        <v>46</v>
      </c>
      <c r="C10" s="30" t="s">
        <v>47</v>
      </c>
    </row>
    <row r="11" customFormat="false" ht="72.75" hidden="false" customHeight="true" outlineLevel="0" collapsed="false">
      <c r="A11" s="25" t="s">
        <v>48</v>
      </c>
      <c r="B11" s="26" t="s">
        <v>46</v>
      </c>
      <c r="C11" s="27" t="s">
        <v>49</v>
      </c>
    </row>
    <row r="12" customFormat="false" ht="72.75" hidden="false" customHeight="true" outlineLevel="0" collapsed="false">
      <c r="A12" s="28" t="s">
        <v>50</v>
      </c>
      <c r="B12" s="29" t="s">
        <v>51</v>
      </c>
      <c r="C12" s="30" t="s">
        <v>52</v>
      </c>
    </row>
    <row r="13" customFormat="false" ht="46.5" hidden="false" customHeight="true" outlineLevel="0" collapsed="false">
      <c r="A13" s="25" t="s">
        <v>53</v>
      </c>
      <c r="B13" s="26" t="s">
        <v>54</v>
      </c>
      <c r="C13" s="27" t="s">
        <v>55</v>
      </c>
    </row>
    <row r="14" customFormat="false" ht="99" hidden="false" customHeight="true" outlineLevel="0" collapsed="false">
      <c r="A14" s="28" t="s">
        <v>56</v>
      </c>
      <c r="B14" s="29" t="s">
        <v>37</v>
      </c>
      <c r="C14" s="30" t="s">
        <v>57</v>
      </c>
    </row>
    <row r="15" customFormat="false" ht="46.5" hidden="false" customHeight="true" outlineLevel="0" collapsed="false">
      <c r="A15" s="25" t="s">
        <v>58</v>
      </c>
      <c r="B15" s="26" t="s">
        <v>37</v>
      </c>
      <c r="C15" s="27" t="s">
        <v>59</v>
      </c>
    </row>
    <row r="16" customFormat="false" ht="33.75" hidden="false" customHeight="true" outlineLevel="0" collapsed="false">
      <c r="A16" s="28" t="s">
        <v>60</v>
      </c>
      <c r="B16" s="29" t="s">
        <v>61</v>
      </c>
      <c r="C16" s="30" t="s">
        <v>62</v>
      </c>
    </row>
    <row r="17" customFormat="false" ht="99" hidden="false" customHeight="true" outlineLevel="0" collapsed="false">
      <c r="A17" s="25" t="s">
        <v>63</v>
      </c>
      <c r="B17" s="26" t="s">
        <v>61</v>
      </c>
      <c r="C17" s="27" t="s">
        <v>64</v>
      </c>
    </row>
    <row r="18" customFormat="false" ht="46.5" hidden="false" customHeight="true" outlineLevel="0" collapsed="false">
      <c r="A18" s="28" t="s">
        <v>65</v>
      </c>
      <c r="B18" s="29" t="s">
        <v>61</v>
      </c>
      <c r="C18" s="30" t="s">
        <v>66</v>
      </c>
    </row>
    <row r="19" customFormat="false" ht="33.75" hidden="false" customHeight="true" outlineLevel="0" collapsed="false">
      <c r="A19" s="25" t="s">
        <v>67</v>
      </c>
      <c r="B19" s="26" t="s">
        <v>61</v>
      </c>
      <c r="C19" s="27" t="s">
        <v>68</v>
      </c>
    </row>
  </sheetData>
  <mergeCells count="2">
    <mergeCell ref="A1:C1"/>
    <mergeCell ref="A2:C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4"/>
    <col collapsed="false" customWidth="true" hidden="false" outlineLevel="0" max="3" min="3" style="0" width="22"/>
    <col collapsed="false" customWidth="true" hidden="false" outlineLevel="0" max="4" min="4" style="0" width="18"/>
    <col collapsed="false" customWidth="true" hidden="false" outlineLevel="0" max="5" min="5" style="0" width="20"/>
    <col collapsed="false" customWidth="true" hidden="false" outlineLevel="0" max="6" min="6" style="0" width="30"/>
    <col collapsed="false" customWidth="true" hidden="false" outlineLevel="0" max="7" min="7" style="0" width="34"/>
    <col collapsed="false" customWidth="true" hidden="false" outlineLevel="0" max="8" min="8" style="0" width="14"/>
    <col collapsed="false" customWidth="true" hidden="false" outlineLevel="0" max="9" min="9" style="0" width="12"/>
  </cols>
  <sheetData>
    <row r="1" customFormat="false" ht="22.05" hidden="false" customHeight="false" outlineLevel="0" collapsed="false">
      <c r="A1" s="31" t="s">
        <v>31</v>
      </c>
    </row>
    <row r="3" customFormat="false" ht="17.35" hidden="false" customHeight="false" outlineLevel="0" collapsed="false">
      <c r="A3" s="32" t="s">
        <v>69</v>
      </c>
      <c r="C3" s="33" t="s">
        <v>70</v>
      </c>
      <c r="D3" s="34" t="s">
        <v>71</v>
      </c>
    </row>
    <row r="5" customFormat="false" ht="30" hidden="false" customHeight="true" outlineLevel="0" collapsed="false">
      <c r="A5" s="35" t="s">
        <v>72</v>
      </c>
      <c r="B5" s="36" t="str">
        <f aca="false">IFERROR(IF(INDEX(Drafts!$B$1:$B$251,MATCH($C$3,Drafts!$A$1:$A$251,0))="","",INDEX(Drafts!$B$1:$B$251,MATCH($C$3,Drafts!$A$1:$A$251,0))),"")</f>
        <v>Solicitations</v>
      </c>
      <c r="C5" s="36"/>
      <c r="D5" s="36"/>
      <c r="E5" s="35" t="s">
        <v>18</v>
      </c>
      <c r="F5" s="37" t="str">
        <f aca="false">IFERROR(IF(INDEX(Drafts!$M$1:$M$251,MATCH($C$3,Drafts!$A$1:$A$251,0))="","",INDEX(Drafts!$M$1:$M$251,MATCH($C$3,Drafts!$A$1:$A$251,0))),"")</f>
        <v>KEB-R(1)</v>
      </c>
      <c r="G5" s="37"/>
      <c r="H5" s="37"/>
      <c r="I5" s="37"/>
    </row>
    <row r="6" customFormat="false" ht="30" hidden="false" customHeight="true" outlineLevel="0" collapsed="false">
      <c r="A6" s="35" t="s">
        <v>73</v>
      </c>
      <c r="B6" s="36" t="str">
        <f aca="false">IFERROR(IF(INDEX(Drafts!$C$1:$C$251,MATCH($C$3,Drafts!$A$1:$A$251,0))="","",INDEX(Drafts!$C$1:$C$251,MATCH($C$3,Drafts!$A$1:$A$251,0))),"")</f>
        <v>Policy (revision)</v>
      </c>
      <c r="C6" s="36"/>
      <c r="D6" s="36"/>
      <c r="E6" s="35" t="s">
        <v>74</v>
      </c>
      <c r="F6" s="37" t="str">
        <f aca="false">IFERROR(IF(INDEX(Drafts!$N$1:$N$251,MATCH($C$3,Drafts!$A$1:$A$251,0))="","",INDEX(Drafts!$N$1:$N$251,MATCH($C$3,Drafts!$A$1:$A$251,0))),"")</f>
        <v>Exists, update to match</v>
      </c>
      <c r="G6" s="37"/>
      <c r="H6" s="37"/>
      <c r="I6" s="37"/>
    </row>
    <row r="7" customFormat="false" ht="30" hidden="false" customHeight="true" outlineLevel="0" collapsed="false">
      <c r="A7" s="35" t="s">
        <v>14</v>
      </c>
      <c r="B7" s="36" t="str">
        <f aca="false">IFERROR(IF(INDEX(Drafts!$E$1:$E$251,MATCH($C$3,Drafts!$A$1:$A$251,0))="","",INDEX(Drafts!$E$1:$E$251,MATCH($C$3,Drafts!$A$1:$A$251,0))),"")</f>
        <v>Second read</v>
      </c>
      <c r="C7" s="36"/>
      <c r="D7" s="36"/>
      <c r="E7" s="35" t="s">
        <v>75</v>
      </c>
      <c r="F7" s="38" t="str">
        <f aca="false">IFERROR(IF(INDEX(Drafts!$P$1:$P$251,MATCH($C$3,Drafts!$A$1:$A$251,0))="","",INDEX(Drafts!$P$1:$P$251,MATCH($C$3,Drafts!$A$1:$A$251,0))),"")</f>
        <v/>
      </c>
      <c r="G7" s="38"/>
      <c r="H7" s="38"/>
      <c r="I7" s="38"/>
    </row>
    <row r="8" customFormat="false" ht="30" hidden="false" customHeight="true" outlineLevel="0" collapsed="false">
      <c r="A8" s="35" t="s">
        <v>76</v>
      </c>
      <c r="B8" s="36" t="str">
        <f aca="false">IFERROR(IF(INDEX(Drafts!$D$1:$D$251,MATCH($C$3,Drafts!$A$1:$A$251,0))="","",INDEX(Drafts!$D$1:$D$251,MATCH($C$3,Drafts!$A$1:$A$251,0))),"")</f>
        <v>To confirm</v>
      </c>
      <c r="C8" s="36"/>
      <c r="D8" s="36"/>
      <c r="E8" s="35" t="s">
        <v>15</v>
      </c>
      <c r="F8" s="37" t="str">
        <f aca="false">IFERROR(IF(INDEX(Drafts!$F$1:$F$251,MATCH($C$3,Drafts!$A$1:$A$251,0))="","",INDEX(Drafts!$F$1:$F$251,MATCH($C$3,Drafts!$A$1:$A$251,0))),"")</f>
        <v>Second reading on the board's consent agenda. Committee agreed edits on Oct 1.</v>
      </c>
      <c r="G8" s="37"/>
      <c r="H8" s="37"/>
      <c r="I8" s="37"/>
    </row>
    <row r="9" customFormat="false" ht="30" hidden="false" customHeight="true" outlineLevel="0" collapsed="false">
      <c r="A9" s="35" t="s">
        <v>77</v>
      </c>
      <c r="B9" s="36" t="str">
        <f aca="false">IFERROR(IF(INDEX(Drafts!$W$1:$W$251,MATCH($C$3,Drafts!$A$1:$A$251,0))="","None (new policy)",HYPERLINK(INDEX(Drafts!$W$1:$W$251,MATCH($C$3,Drafts!$A$1:$A$251,0)),"Open adopted version in Simbli")),"")</f>
        <v>Open adopted version in Simbli</v>
      </c>
      <c r="C9" s="36"/>
      <c r="D9" s="36"/>
      <c r="E9" s="35" t="s">
        <v>78</v>
      </c>
      <c r="F9" s="38" t="n">
        <f aca="false">IFERROR(IF(INDEX(Drafts!$G$1:$G$251,MATCH($C$3,Drafts!$A$1:$A$251,0))="","",INDEX(Drafts!$G$1:$G$251,MATCH($C$3,Drafts!$A$1:$A$251,0))),"")</f>
        <v>46300</v>
      </c>
      <c r="G9" s="38"/>
      <c r="H9" s="38"/>
      <c r="I9" s="38"/>
    </row>
    <row r="10" customFormat="false" ht="30" hidden="false" customHeight="true" outlineLevel="0" collapsed="false">
      <c r="A10" s="35" t="s">
        <v>79</v>
      </c>
      <c r="B10" s="36" t="str">
        <f aca="false">IFERROR(IF(INDEX(Drafts!$X$1:$X$251,MATCH($C$3,Drafts!$A$1:$A$251,0))="","Not posted",HYPERLINK(INDEX(Drafts!$X$1:$X$251,MATCH($C$3,Drafts!$A$1:$A$251,0)),"Open posted draft in Simbli")),"")</f>
        <v>Open posted draft in Simbli</v>
      </c>
      <c r="C10" s="36"/>
      <c r="D10" s="36"/>
      <c r="E10" s="35" t="s">
        <v>16</v>
      </c>
      <c r="F10" s="37" t="str">
        <f aca="false">IFERROR(IF(INDEX(Drafts!$H$1:$H$251,MATCH($C$3,Drafts!$A$1:$A$251,0))="","",INDEX(Drafts!$H$1:$H$251,MATCH($C$3,Drafts!$A$1:$A$251,0))),"")</f>
        <v>Committee reviews the revised draft with the Oct 1 edits.</v>
      </c>
      <c r="G10" s="37"/>
      <c r="H10" s="37"/>
      <c r="I10" s="37"/>
    </row>
    <row r="11" customFormat="false" ht="30" hidden="false" customHeight="true" outlineLevel="0" collapsed="false">
      <c r="A11" s="35" t="s">
        <v>80</v>
      </c>
      <c r="B11" s="36" t="str">
        <f aca="false">IFERROR(IF(INDEX(Drafts!$Q$1:$Q$251,MATCH($C$3,Drafts!$A$1:$A$251,0))="","",INDEX(Drafts!$Q$1:$Q$251,MATCH($C$3,Drafts!$A$1:$A$251,0))),"")</f>
        <v>V-005</v>
      </c>
      <c r="C11" s="36"/>
      <c r="D11" s="36"/>
      <c r="E11" s="35" t="s">
        <v>17</v>
      </c>
      <c r="F11" s="38" t="n">
        <f aca="false">IFERROR(IF(INDEX(Drafts!$I$1:$I$251,MATCH($C$3,Drafts!$A$1:$A$251,0))="","",INDEX(Drafts!$I$1:$I$251,MATCH($C$3,Drafts!$A$1:$A$251,0))),"")</f>
        <v>46323</v>
      </c>
      <c r="G11" s="38"/>
      <c r="H11" s="38"/>
      <c r="I11" s="38"/>
    </row>
    <row r="13" customFormat="false" ht="33.75" hidden="false" customHeight="true" outlineLevel="0" collapsed="false">
      <c r="A13" s="35" t="s">
        <v>81</v>
      </c>
      <c r="B13" s="36" t="str">
        <f aca="false">IFERROR(IF(INDEX(Drafts!$J$1:$J$251,MATCH($C$3,Drafts!$A$1:$A$251,0))="","",INDEX(Drafts!$J$1:$J$251,MATCH($C$3,Drafts!$A$1:$A$251,0))),"")</f>
        <v>Adds scope, a Foundation section and limits on donor influence.</v>
      </c>
      <c r="C13" s="36"/>
      <c r="D13" s="36"/>
      <c r="E13" s="36"/>
      <c r="F13" s="36"/>
      <c r="G13" s="36"/>
      <c r="H13" s="36"/>
      <c r="I13" s="36"/>
    </row>
    <row r="14" customFormat="false" ht="15" hidden="false" customHeight="false" outlineLevel="0" collapsed="false">
      <c r="A14" s="35" t="s">
        <v>46</v>
      </c>
      <c r="B14" s="39" t="str">
        <f aca="false">IFERROR(INDEX(Drafts!$R$1:$R$251,MATCH($C$3,Drafts!$A$1:$A$251,0))&amp;" logged, "&amp;INDEX(Drafts!$S$1:$S$251,MATCH($C$3,Drafts!$A$1:$A$251,0))&amp;" open","")</f>
        <v>7 logged, 0 open</v>
      </c>
      <c r="C14" s="39"/>
      <c r="D14" s="39"/>
      <c r="E14" s="39"/>
      <c r="F14" s="39"/>
      <c r="G14" s="39"/>
      <c r="H14" s="39"/>
      <c r="I14" s="39"/>
    </row>
    <row r="16" customFormat="false" ht="15" hidden="false" customHeight="true" outlineLevel="0" collapsed="false">
      <c r="A16" s="40" t="s">
        <v>51</v>
      </c>
      <c r="B16" s="40"/>
      <c r="C16" s="40"/>
      <c r="D16" s="40"/>
      <c r="E16" s="40"/>
      <c r="F16" s="40"/>
    </row>
    <row r="17" customFormat="false" ht="15" hidden="false" customHeight="false" outlineLevel="0" collapsed="false">
      <c r="A17" s="41" t="s">
        <v>82</v>
      </c>
      <c r="B17" s="41" t="s">
        <v>83</v>
      </c>
      <c r="C17" s="41" t="s">
        <v>84</v>
      </c>
      <c r="D17" s="41" t="s">
        <v>85</v>
      </c>
      <c r="E17" s="41" t="s">
        <v>86</v>
      </c>
      <c r="F17" s="42" t="s">
        <v>87</v>
      </c>
      <c r="G17" s="42"/>
      <c r="H17" s="41" t="s">
        <v>88</v>
      </c>
      <c r="I17" s="41" t="s">
        <v>89</v>
      </c>
    </row>
    <row r="18" customFormat="false" ht="30" hidden="false" customHeight="true" outlineLevel="0" collapsed="false">
      <c r="A18" s="15" t="str">
        <f aca="false">IFERROR(INDEX(Versions!$A$2:$A$501,MATCH(1,Calc!$M$4:$M$503,0)),"")</f>
        <v>V-005</v>
      </c>
      <c r="B18" s="15" t="n">
        <f aca="false">IFERROR(INDEX(Versions!$C$2:$C$501,MATCH(1,Calc!$M$4:$M$503,0)),"")</f>
        <v>1</v>
      </c>
      <c r="C18" s="16" t="n">
        <f aca="false">IFERROR(INDEX(Versions!$D$2:$D$501,MATCH(1,Calc!$M$4:$M$503,0)),"")</f>
        <v>46300</v>
      </c>
      <c r="D18" s="15" t="str">
        <f aca="false">IFERROR(INDEX(Versions!$E$2:$E$501,MATCH(1,Calc!$M$4:$M$503,0))&amp;IF(LEFT(INDEX(Versions!$P$2:$P$501,MATCH(1,Calc!$M$4:$M$503,0)),12)="Illustrative"," (example)",""),"")</f>
        <v>Posted: second reading</v>
      </c>
      <c r="E18" s="15" t="str">
        <f aca="false">IFERROR(INDEX(Versions!$F$2:$F$501,MATCH(1,Calc!$M$4:$M$503,0)),"")</f>
        <v>Simbli</v>
      </c>
      <c r="F18" s="15" t="str">
        <f aca="false">IFERROR(INDEX(Versions!$I$2:$I$501,MATCH(1,Calc!$M$4:$M$503,0)),"")</f>
        <v>As posted in Simbli for the board meeting.</v>
      </c>
      <c r="G18" s="15"/>
      <c r="H18" s="15" t="str">
        <f aca="false">IFERROR(INDEX(Versions!$H$2:$H$501,MATCH(1,Calc!$M$4:$M$503,0)),"")</f>
        <v>Yes</v>
      </c>
      <c r="I18" s="15" t="str">
        <f aca="false">IFERROR(INDEX(Versions!$M$2:$M$501,MATCH(1,Calc!$M$4:$M$503,0)),"")</f>
        <v>Yes</v>
      </c>
    </row>
    <row r="19" customFormat="false" ht="30" hidden="false" customHeight="true" outlineLevel="0" collapsed="false">
      <c r="A19" s="15" t="str">
        <f aca="false">IFERROR(INDEX(Versions!$A$2:$A$501,MATCH(2,Calc!$M$4:$M$503,0)),"")</f>
        <v>V-006</v>
      </c>
      <c r="B19" s="15" t="n">
        <f aca="false">IFERROR(INDEX(Versions!$C$2:$C$501,MATCH(2,Calc!$M$4:$M$503,0)),"")</f>
        <v>2</v>
      </c>
      <c r="C19" s="16" t="n">
        <f aca="false">IFERROR(INDEX(Versions!$D$2:$D$501,MATCH(2,Calc!$M$4:$M$503,0)),"")</f>
        <v>46307</v>
      </c>
      <c r="D19" s="15" t="str">
        <f aca="false">IFERROR(INDEX(Versions!$E$2:$E$501,MATCH(2,Calc!$M$4:$M$503,0))&amp;IF(LEFT(INDEX(Versions!$P$2:$P$501,MATCH(2,Calc!$M$4:$M$503,0)),12)="Illustrative"," (example)",""),"")</f>
        <v>Working draft for Oct 28 committee (example)</v>
      </c>
      <c r="E19" s="15" t="str">
        <f aca="false">IFERROR(INDEX(Versions!$F$2:$F$501,MATCH(2,Calc!$M$4:$M$503,0)),"")</f>
        <v>Shared folder</v>
      </c>
      <c r="F19" s="15" t="str">
        <f aca="false">IFERROR(INDEX(Versions!$I$2:$I$501,MATCH(2,Calc!$M$4:$M$503,0)),"")</f>
        <v>Oct 1 edits: Foundation sentence and 501(c)(3), scope moved up, sections regrouped, procedures sentence clarified, wording for school-level fundraising.</v>
      </c>
      <c r="G19" s="15"/>
      <c r="H19" s="15" t="str">
        <f aca="false">IFERROR(INDEX(Versions!$H$2:$H$501,MATCH(2,Calc!$M$4:$M$503,0)),"")</f>
        <v>No</v>
      </c>
      <c r="I19" s="15" t="str">
        <f aca="false">IFERROR(INDEX(Versions!$M$2:$M$501,MATCH(2,Calc!$M$4:$M$503,0)),"")</f>
        <v>No</v>
      </c>
    </row>
    <row r="20" customFormat="false" ht="30" hidden="false" customHeight="true" outlineLevel="0" collapsed="false">
      <c r="A20" s="15" t="str">
        <f aca="false">IFERROR(INDEX(Versions!$A$2:$A$501,MATCH(3,Calc!$M$4:$M$503,0)),"")</f>
        <v/>
      </c>
      <c r="B20" s="15" t="str">
        <f aca="false">IFERROR(INDEX(Versions!$C$2:$C$501,MATCH(3,Calc!$M$4:$M$503,0)),"")</f>
        <v/>
      </c>
      <c r="C20" s="16" t="str">
        <f aca="false">IFERROR(INDEX(Versions!$D$2:$D$501,MATCH(3,Calc!$M$4:$M$503,0)),"")</f>
        <v/>
      </c>
      <c r="D20" s="15" t="str">
        <f aca="false">IFERROR(INDEX(Versions!$E$2:$E$501,MATCH(3,Calc!$M$4:$M$503,0))&amp;IF(LEFT(INDEX(Versions!$P$2:$P$501,MATCH(3,Calc!$M$4:$M$503,0)),12)="Illustrative"," (example)",""),"")</f>
        <v/>
      </c>
      <c r="E20" s="15" t="str">
        <f aca="false">IFERROR(INDEX(Versions!$F$2:$F$501,MATCH(3,Calc!$M$4:$M$503,0)),"")</f>
        <v/>
      </c>
      <c r="F20" s="15" t="str">
        <f aca="false">IFERROR(INDEX(Versions!$I$2:$I$501,MATCH(3,Calc!$M$4:$M$503,0)),"")</f>
        <v/>
      </c>
      <c r="G20" s="15"/>
      <c r="H20" s="15" t="str">
        <f aca="false">IFERROR(INDEX(Versions!$H$2:$H$501,MATCH(3,Calc!$M$4:$M$503,0)),"")</f>
        <v/>
      </c>
      <c r="I20" s="15" t="str">
        <f aca="false">IFERROR(INDEX(Versions!$M$2:$M$501,MATCH(3,Calc!$M$4:$M$503,0)),"")</f>
        <v/>
      </c>
    </row>
    <row r="21" customFormat="false" ht="30" hidden="false" customHeight="true" outlineLevel="0" collapsed="false">
      <c r="A21" s="15" t="str">
        <f aca="false">IFERROR(INDEX(Versions!$A$2:$A$501,MATCH(4,Calc!$M$4:$M$503,0)),"")</f>
        <v/>
      </c>
      <c r="B21" s="15" t="str">
        <f aca="false">IFERROR(INDEX(Versions!$C$2:$C$501,MATCH(4,Calc!$M$4:$M$503,0)),"")</f>
        <v/>
      </c>
      <c r="C21" s="16" t="str">
        <f aca="false">IFERROR(INDEX(Versions!$D$2:$D$501,MATCH(4,Calc!$M$4:$M$503,0)),"")</f>
        <v/>
      </c>
      <c r="D21" s="15" t="str">
        <f aca="false">IFERROR(INDEX(Versions!$E$2:$E$501,MATCH(4,Calc!$M$4:$M$503,0))&amp;IF(LEFT(INDEX(Versions!$P$2:$P$501,MATCH(4,Calc!$M$4:$M$503,0)),12)="Illustrative"," (example)",""),"")</f>
        <v/>
      </c>
      <c r="E21" s="15" t="str">
        <f aca="false">IFERROR(INDEX(Versions!$F$2:$F$501,MATCH(4,Calc!$M$4:$M$503,0)),"")</f>
        <v/>
      </c>
      <c r="F21" s="15" t="str">
        <f aca="false">IFERROR(INDEX(Versions!$I$2:$I$501,MATCH(4,Calc!$M$4:$M$503,0)),"")</f>
        <v/>
      </c>
      <c r="G21" s="15"/>
      <c r="H21" s="15" t="str">
        <f aca="false">IFERROR(INDEX(Versions!$H$2:$H$501,MATCH(4,Calc!$M$4:$M$503,0)),"")</f>
        <v/>
      </c>
      <c r="I21" s="15" t="str">
        <f aca="false">IFERROR(INDEX(Versions!$M$2:$M$501,MATCH(4,Calc!$M$4:$M$503,0)),"")</f>
        <v/>
      </c>
    </row>
    <row r="23" customFormat="false" ht="15" hidden="false" customHeight="true" outlineLevel="0" collapsed="false">
      <c r="A23" s="40" t="s">
        <v>90</v>
      </c>
      <c r="B23" s="40"/>
      <c r="C23" s="40"/>
      <c r="D23" s="40"/>
      <c r="E23" s="40"/>
      <c r="F23" s="40"/>
    </row>
    <row r="24" customFormat="false" ht="15" hidden="false" customHeight="false" outlineLevel="0" collapsed="false">
      <c r="A24" s="41" t="s">
        <v>84</v>
      </c>
      <c r="B24" s="41" t="s">
        <v>91</v>
      </c>
      <c r="C24" s="41" t="s">
        <v>92</v>
      </c>
      <c r="D24" s="41" t="s">
        <v>93</v>
      </c>
      <c r="E24" s="41" t="s">
        <v>94</v>
      </c>
      <c r="F24" s="41" t="s">
        <v>95</v>
      </c>
      <c r="G24" s="42" t="s">
        <v>96</v>
      </c>
      <c r="H24" s="42"/>
      <c r="I24" s="41" t="s">
        <v>23</v>
      </c>
    </row>
    <row r="25" customFormat="false" ht="43.5" hidden="false" customHeight="true" outlineLevel="0" collapsed="false">
      <c r="A25" s="16" t="n">
        <f aca="false">IFERROR(INDEX(Comments!$C$2:$C$2001,MATCH(1,Calc!$D$4:$D$2003,0)),"")</f>
        <v>46295</v>
      </c>
      <c r="B25" s="15" t="str">
        <f aca="false">IFERROR(INDEX(Comments!$D$2:$D$2001,MATCH(1,Calc!$D$4:$D$2003,0)),"")</f>
        <v>Board member</v>
      </c>
      <c r="C25" s="15" t="str">
        <f aca="false">IFERROR(INDEX(Comments!$E$2:$E$2001,MATCH(1,Calc!$D$4:$D$2003,0)),"")</f>
        <v>Word comment in draft</v>
      </c>
      <c r="D25" s="15" t="str">
        <f aca="false">IFERROR(INDEX(Comments!$G$2:$G$2001,MATCH(1,Calc!$D$4:$D$2003,0)),"")</f>
        <v>Solicitations/Donations</v>
      </c>
      <c r="E25" s="15" t="str">
        <f aca="false">IFERROR(INDEX(Comments!$I$2:$I$2001,MATCH(1,Calc!$D$4:$D$2003,0)),"")</f>
        <v>Change the policy</v>
      </c>
      <c r="F25" s="15" t="str">
        <f aca="false">IFERROR(INDEX(Comments!$H$2:$H$2001,MATCH(1,Calc!$D$4:$D$2003,0)),"")</f>
        <v>Is calling the Foundation an arm of the district accurate if it is an independent 501(c)(3)?</v>
      </c>
      <c r="G25" s="15" t="str">
        <f aca="false">IFERROR(INDEX(Comments!$J$2:$J$2001,MATCH(1,Calc!$D$4:$D$2003,0)),"")</f>
        <v>Reword: the Foundation implements philanthropic and strategic initiatives; add a sentence that it is an independent 501(c)(3) with its own board.</v>
      </c>
      <c r="H25" s="15"/>
      <c r="I25" s="43" t="str">
        <f aca="false">IFERROR(INDEX(Comments!$N$2:$N$2001,MATCH(1,Calc!$D$4:$D$2003,0)),"")</f>
        <v>Closed</v>
      </c>
    </row>
    <row r="26" customFormat="false" ht="43.5" hidden="false" customHeight="true" outlineLevel="0" collapsed="false">
      <c r="A26" s="16" t="n">
        <f aca="false">IFERROR(INDEX(Comments!$C$2:$C$2001,MATCH(2,Calc!$D$4:$D$2003,0)),"")</f>
        <v>46296</v>
      </c>
      <c r="B26" s="15" t="str">
        <f aca="false">IFERROR(INDEX(Comments!$D$2:$D$2001,MATCH(2,Calc!$D$4:$D$2003,0)),"")</f>
        <v>Public</v>
      </c>
      <c r="C26" s="15" t="str">
        <f aca="false">IFERROR(INDEX(Comments!$E$2:$E$2001,MATCH(2,Calc!$D$4:$D$2003,0)),"")</f>
        <v>Online public comment</v>
      </c>
      <c r="D26" s="15" t="str">
        <f aca="false">IFERROR(INDEX(Comments!$G$2:$G$2001,MATCH(2,Calc!$D$4:$D$2003,0)),"")</f>
        <v>Solicitations/Donations</v>
      </c>
      <c r="E26" s="15" t="str">
        <f aca="false">IFERROR(INDEX(Comments!$I$2:$I$2001,MATCH(2,Calc!$D$4:$D$2003,0)),"")</f>
        <v>Change the policy</v>
      </c>
      <c r="F26" s="15" t="str">
        <f aca="false">IFERROR(INDEX(Comments!$H$2:$H$2001,MATCH(2,Calc!$D$4:$D$2003,0)),"")</f>
        <v>The policy should make clear the Foundation is a separate entity.</v>
      </c>
      <c r="G26" s="15" t="str">
        <f aca="false">IFERROR(INDEX(Comments!$J$2:$J$2001,MATCH(2,Calc!$D$4:$D$2003,0)),"")</f>
        <v>Same change as the board member's comment above.</v>
      </c>
      <c r="H26" s="15"/>
      <c r="I26" s="43" t="str">
        <f aca="false">IFERROR(INDEX(Comments!$N$2:$N$2001,MATCH(2,Calc!$D$4:$D$2003,0)),"")</f>
        <v>Closed</v>
      </c>
    </row>
    <row r="27" customFormat="false" ht="43.5" hidden="false" customHeight="true" outlineLevel="0" collapsed="false">
      <c r="A27" s="16" t="n">
        <f aca="false">IFERROR(INDEX(Comments!$C$2:$C$2001,MATCH(3,Calc!$D$4:$D$2003,0)),"")</f>
        <v>46295</v>
      </c>
      <c r="B27" s="15" t="str">
        <f aca="false">IFERROR(INDEX(Comments!$D$2:$D$2001,MATCH(3,Calc!$D$4:$D$2003,0)),"")</f>
        <v>Board member</v>
      </c>
      <c r="C27" s="15" t="str">
        <f aca="false">IFERROR(INDEX(Comments!$E$2:$E$2001,MATCH(3,Calc!$D$4:$D$2003,0)),"")</f>
        <v>Word comment in draft</v>
      </c>
      <c r="D27" s="15" t="str">
        <f aca="false">IFERROR(INDEX(Comments!$G$2:$G$2001,MATCH(3,Calc!$D$4:$D$2003,0)),"")</f>
        <v>Scope</v>
      </c>
      <c r="E27" s="15" t="str">
        <f aca="false">IFERROR(INDEX(Comments!$I$2:$I$2001,MATCH(3,Calc!$D$4:$D$2003,0)),"")</f>
        <v>Change the policy</v>
      </c>
      <c r="F27" s="15" t="str">
        <f aca="false">IFERROR(INDEX(Comments!$H$2:$H$2001,MATCH(3,Calc!$D$4:$D$2003,0)),"")</f>
        <v>The scope belongs at the top; the policy reads out of order.</v>
      </c>
      <c r="G27" s="15" t="str">
        <f aca="false">IFERROR(INDEX(Comments!$J$2:$J$2001,MATCH(3,Calc!$D$4:$D$2003,0)),"")</f>
        <v>Move scope near the top and regroup the sections.</v>
      </c>
      <c r="H27" s="15"/>
      <c r="I27" s="43" t="str">
        <f aca="false">IFERROR(INDEX(Comments!$N$2:$N$2001,MATCH(3,Calc!$D$4:$D$2003,0)),"")</f>
        <v>Closed</v>
      </c>
    </row>
    <row r="28" customFormat="false" ht="43.5" hidden="false" customHeight="true" outlineLevel="0" collapsed="false">
      <c r="A28" s="16" t="n">
        <f aca="false">IFERROR(INDEX(Comments!$C$2:$C$2001,MATCH(4,Calc!$D$4:$D$2003,0)),"")</f>
        <v>46295</v>
      </c>
      <c r="B28" s="15" t="str">
        <f aca="false">IFERROR(INDEX(Comments!$D$2:$D$2001,MATCH(4,Calc!$D$4:$D$2003,0)),"")</f>
        <v>Board member</v>
      </c>
      <c r="C28" s="15" t="str">
        <f aca="false">IFERROR(INDEX(Comments!$E$2:$E$2001,MATCH(4,Calc!$D$4:$D$2003,0)),"")</f>
        <v>Word comment in draft</v>
      </c>
      <c r="D28" s="15" t="str">
        <f aca="false">IFERROR(INDEX(Comments!$G$2:$G$2001,MATCH(4,Calc!$D$4:$D$2003,0)),"")</f>
        <v>Solicitations/Donations</v>
      </c>
      <c r="E28" s="15" t="str">
        <f aca="false">IFERROR(INDEX(Comments!$I$2:$I$2001,MATCH(4,Calc!$D$4:$D$2003,0)),"")</f>
        <v>Change the policy</v>
      </c>
      <c r="F28" s="15" t="str">
        <f aca="false">IFERROR(INDEX(Comments!$H$2:$H$2001,MATCH(4,Calc!$D$4:$D$2003,0)),"")</f>
        <v>What does it mean that the superintendent maintains the Foundation's procedures?</v>
      </c>
      <c r="G28" s="15" t="str">
        <f aca="false">IFERROR(INDEX(Comments!$J$2:$J$2001,MATCH(4,Calc!$D$4:$D$2003,0)),"")</f>
        <v>Clarify that the district keeps its own procedures and the Foundation board keeps its own; any detail goes in the regulation.</v>
      </c>
      <c r="H28" s="15"/>
      <c r="I28" s="43" t="str">
        <f aca="false">IFERROR(INDEX(Comments!$N$2:$N$2001,MATCH(4,Calc!$D$4:$D$2003,0)),"")</f>
        <v>Closed</v>
      </c>
    </row>
    <row r="29" customFormat="false" ht="43.5" hidden="false" customHeight="true" outlineLevel="0" collapsed="false">
      <c r="A29" s="16" t="n">
        <f aca="false">IFERROR(INDEX(Comments!$C$2:$C$2001,MATCH(5,Calc!$D$4:$D$2003,0)),"")</f>
        <v>46296</v>
      </c>
      <c r="B29" s="15" t="str">
        <f aca="false">IFERROR(INDEX(Comments!$D$2:$D$2001,MATCH(5,Calc!$D$4:$D$2003,0)),"")</f>
        <v>Staff</v>
      </c>
      <c r="C29" s="15" t="str">
        <f aca="false">IFERROR(INDEX(Comments!$E$2:$E$2001,MATCH(5,Calc!$D$4:$D$2003,0)),"")</f>
        <v>Said at committee meeting</v>
      </c>
      <c r="D29" s="15" t="str">
        <f aca="false">IFERROR(INDEX(Comments!$G$2:$G$2001,MATCH(5,Calc!$D$4:$D$2003,0)),"")</f>
        <v>Solicitations/Donations</v>
      </c>
      <c r="E29" s="15" t="str">
        <f aca="false">IFERROR(INDEX(Comments!$I$2:$I$2001,MATCH(5,Calc!$D$4:$D$2003,0)),"")</f>
        <v>Save for a later revision</v>
      </c>
      <c r="F29" s="15" t="str">
        <f aca="false">IFERROR(INDEX(Comments!$H$2:$H$2001,MATCH(5,Calc!$D$4:$D$2003,0)),"")</f>
        <v>The donor-influence sentence fits Policy DFK better than KEB.</v>
      </c>
      <c r="G29" s="15" t="str">
        <f aca="false">IFERROR(INDEX(Comments!$J$2:$J$2001,MATCH(5,Calc!$D$4:$D$2003,0)),"")</f>
        <v>Keep it in KEB for now, rewritten as shorter sentences; move it to DFK at DFK's next revision (D-001).</v>
      </c>
      <c r="H29" s="15"/>
      <c r="I29" s="43" t="str">
        <f aca="false">IFERROR(INDEX(Comments!$N$2:$N$2001,MATCH(5,Calc!$D$4:$D$2003,0)),"")</f>
        <v>Closed</v>
      </c>
    </row>
    <row r="30" customFormat="false" ht="43.5" hidden="false" customHeight="true" outlineLevel="0" collapsed="false">
      <c r="A30" s="16" t="n">
        <f aca="false">IFERROR(INDEX(Comments!$C$2:$C$2001,MATCH(6,Calc!$D$4:$D$2003,0)),"")</f>
        <v>46296</v>
      </c>
      <c r="B30" s="15" t="str">
        <f aca="false">IFERROR(INDEX(Comments!$D$2:$D$2001,MATCH(6,Calc!$D$4:$D$2003,0)),"")</f>
        <v>Public</v>
      </c>
      <c r="C30" s="15" t="str">
        <f aca="false">IFERROR(INDEX(Comments!$E$2:$E$2001,MATCH(6,Calc!$D$4:$D$2003,0)),"")</f>
        <v>Online public comment</v>
      </c>
      <c r="D30" s="15" t="str">
        <f aca="false">IFERROR(INDEX(Comments!$G$2:$G$2001,MATCH(6,Calc!$D$4:$D$2003,0)),"")</f>
        <v>Whole policy</v>
      </c>
      <c r="E30" s="15" t="str">
        <f aca="false">IFERROR(INDEX(Comments!$I$2:$I$2001,MATCH(6,Calc!$D$4:$D$2003,0)),"")</f>
        <v>Move to the regulation</v>
      </c>
      <c r="F30" s="15" t="str">
        <f aca="false">IFERROR(INDEX(Comments!$H$2:$H$2001,MATCH(6,Calc!$D$4:$D$2003,0)),"")</f>
        <v>Strengthen transparency and accountability requirements for PTAs, PTSAs and booster clubs.</v>
      </c>
      <c r="G30" s="15" t="str">
        <f aca="false">IFERROR(INDEX(Comments!$J$2:$J$2001,MATCH(6,Calc!$D$4:$D$2003,0)),"")</f>
        <v>Belongs in the LE regulations on support organizations; a booster club regulation is in review.</v>
      </c>
      <c r="H30" s="15"/>
      <c r="I30" s="43" t="str">
        <f aca="false">IFERROR(INDEX(Comments!$N$2:$N$2001,MATCH(6,Calc!$D$4:$D$2003,0)),"")</f>
        <v>Closed</v>
      </c>
    </row>
    <row r="31" customFormat="false" ht="43.5" hidden="false" customHeight="true" outlineLevel="0" collapsed="false">
      <c r="A31" s="16" t="n">
        <f aca="false">IFERROR(INDEX(Comments!$C$2:$C$2001,MATCH(7,Calc!$D$4:$D$2003,0)),"")</f>
        <v>46296</v>
      </c>
      <c r="B31" s="15" t="str">
        <f aca="false">IFERROR(INDEX(Comments!$D$2:$D$2001,MATCH(7,Calc!$D$4:$D$2003,0)),"")</f>
        <v>Board member</v>
      </c>
      <c r="C31" s="15" t="str">
        <f aca="false">IFERROR(INDEX(Comments!$E$2:$E$2001,MATCH(7,Calc!$D$4:$D$2003,0)),"")</f>
        <v>Said at committee meeting</v>
      </c>
      <c r="D31" s="15" t="str">
        <f aca="false">IFERROR(INDEX(Comments!$G$2:$G$2001,MATCH(7,Calc!$D$4:$D$2003,0)),"")</f>
        <v>Solicitations/Donations</v>
      </c>
      <c r="E31" s="15" t="str">
        <f aca="false">IFERROR(INDEX(Comments!$I$2:$I$2001,MATCH(7,Calc!$D$4:$D$2003,0)),"")</f>
        <v>Change the policy</v>
      </c>
      <c r="F31" s="15" t="str">
        <f aca="false">IFERROR(INDEX(Comments!$H$2:$H$2001,MATCH(7,Calc!$D$4:$D$2003,0)),"")</f>
        <v>'Equitable educational opportunities for students across the district' may not fit fundraising for one school.</v>
      </c>
      <c r="G31" s="15" t="str">
        <f aca="false">IFERROR(INDEX(Comments!$J$2:$J$2001,MATCH(7,Calc!$D$4:$D$2003,0)),"")</f>
        <v>Reword to allow district-wide or school-level efforts.</v>
      </c>
      <c r="H31" s="15"/>
      <c r="I31" s="43" t="str">
        <f aca="false">IFERROR(INDEX(Comments!$N$2:$N$2001,MATCH(7,Calc!$D$4:$D$2003,0)),"")</f>
        <v>Closed</v>
      </c>
    </row>
    <row r="32" customFormat="false" ht="43.5" hidden="false" customHeight="true" outlineLevel="0" collapsed="false">
      <c r="A32" s="16" t="str">
        <f aca="false">IFERROR(INDEX(Comments!$C$2:$C$2001,MATCH(8,Calc!$D$4:$D$2003,0)),"")</f>
        <v/>
      </c>
      <c r="B32" s="15" t="str">
        <f aca="false">IFERROR(INDEX(Comments!$D$2:$D$2001,MATCH(8,Calc!$D$4:$D$2003,0)),"")</f>
        <v/>
      </c>
      <c r="C32" s="15" t="str">
        <f aca="false">IFERROR(INDEX(Comments!$E$2:$E$2001,MATCH(8,Calc!$D$4:$D$2003,0)),"")</f>
        <v/>
      </c>
      <c r="D32" s="15" t="str">
        <f aca="false">IFERROR(INDEX(Comments!$G$2:$G$2001,MATCH(8,Calc!$D$4:$D$2003,0)),"")</f>
        <v/>
      </c>
      <c r="E32" s="15" t="str">
        <f aca="false">IFERROR(INDEX(Comments!$I$2:$I$2001,MATCH(8,Calc!$D$4:$D$2003,0)),"")</f>
        <v/>
      </c>
      <c r="F32" s="15" t="str">
        <f aca="false">IFERROR(INDEX(Comments!$H$2:$H$2001,MATCH(8,Calc!$D$4:$D$2003,0)),"")</f>
        <v/>
      </c>
      <c r="G32" s="15" t="str">
        <f aca="false">IFERROR(INDEX(Comments!$J$2:$J$2001,MATCH(8,Calc!$D$4:$D$2003,0)),"")</f>
        <v/>
      </c>
      <c r="H32" s="15"/>
      <c r="I32" s="43" t="str">
        <f aca="false">IFERROR(INDEX(Comments!$N$2:$N$2001,MATCH(8,Calc!$D$4:$D$2003,0)),"")</f>
        <v/>
      </c>
    </row>
    <row r="33" customFormat="false" ht="43.5" hidden="false" customHeight="true" outlineLevel="0" collapsed="false">
      <c r="A33" s="16" t="str">
        <f aca="false">IFERROR(INDEX(Comments!$C$2:$C$2001,MATCH(9,Calc!$D$4:$D$2003,0)),"")</f>
        <v/>
      </c>
      <c r="B33" s="15" t="str">
        <f aca="false">IFERROR(INDEX(Comments!$D$2:$D$2001,MATCH(9,Calc!$D$4:$D$2003,0)),"")</f>
        <v/>
      </c>
      <c r="C33" s="15" t="str">
        <f aca="false">IFERROR(INDEX(Comments!$E$2:$E$2001,MATCH(9,Calc!$D$4:$D$2003,0)),"")</f>
        <v/>
      </c>
      <c r="D33" s="15" t="str">
        <f aca="false">IFERROR(INDEX(Comments!$G$2:$G$2001,MATCH(9,Calc!$D$4:$D$2003,0)),"")</f>
        <v/>
      </c>
      <c r="E33" s="15" t="str">
        <f aca="false">IFERROR(INDEX(Comments!$I$2:$I$2001,MATCH(9,Calc!$D$4:$D$2003,0)),"")</f>
        <v/>
      </c>
      <c r="F33" s="15" t="str">
        <f aca="false">IFERROR(INDEX(Comments!$H$2:$H$2001,MATCH(9,Calc!$D$4:$D$2003,0)),"")</f>
        <v/>
      </c>
      <c r="G33" s="15" t="str">
        <f aca="false">IFERROR(INDEX(Comments!$J$2:$J$2001,MATCH(9,Calc!$D$4:$D$2003,0)),"")</f>
        <v/>
      </c>
      <c r="H33" s="15"/>
      <c r="I33" s="43" t="str">
        <f aca="false">IFERROR(INDEX(Comments!$N$2:$N$2001,MATCH(9,Calc!$D$4:$D$2003,0)),"")</f>
        <v/>
      </c>
    </row>
    <row r="34" customFormat="false" ht="43.5" hidden="false" customHeight="true" outlineLevel="0" collapsed="false">
      <c r="A34" s="16" t="str">
        <f aca="false">IFERROR(INDEX(Comments!$C$2:$C$2001,MATCH(10,Calc!$D$4:$D$2003,0)),"")</f>
        <v/>
      </c>
      <c r="B34" s="15" t="str">
        <f aca="false">IFERROR(INDEX(Comments!$D$2:$D$2001,MATCH(10,Calc!$D$4:$D$2003,0)),"")</f>
        <v/>
      </c>
      <c r="C34" s="15" t="str">
        <f aca="false">IFERROR(INDEX(Comments!$E$2:$E$2001,MATCH(10,Calc!$D$4:$D$2003,0)),"")</f>
        <v/>
      </c>
      <c r="D34" s="15" t="str">
        <f aca="false">IFERROR(INDEX(Comments!$G$2:$G$2001,MATCH(10,Calc!$D$4:$D$2003,0)),"")</f>
        <v/>
      </c>
      <c r="E34" s="15" t="str">
        <f aca="false">IFERROR(INDEX(Comments!$I$2:$I$2001,MATCH(10,Calc!$D$4:$D$2003,0)),"")</f>
        <v/>
      </c>
      <c r="F34" s="15" t="str">
        <f aca="false">IFERROR(INDEX(Comments!$H$2:$H$2001,MATCH(10,Calc!$D$4:$D$2003,0)),"")</f>
        <v/>
      </c>
      <c r="G34" s="15" t="str">
        <f aca="false">IFERROR(INDEX(Comments!$J$2:$J$2001,MATCH(10,Calc!$D$4:$D$2003,0)),"")</f>
        <v/>
      </c>
      <c r="H34" s="15"/>
      <c r="I34" s="43" t="str">
        <f aca="false">IFERROR(INDEX(Comments!$N$2:$N$2001,MATCH(10,Calc!$D$4:$D$2003,0)),"")</f>
        <v/>
      </c>
    </row>
    <row r="35" customFormat="false" ht="43.5" hidden="false" customHeight="true" outlineLevel="0" collapsed="false">
      <c r="A35" s="16" t="str">
        <f aca="false">IFERROR(INDEX(Comments!$C$2:$C$2001,MATCH(11,Calc!$D$4:$D$2003,0)),"")</f>
        <v/>
      </c>
      <c r="B35" s="15" t="str">
        <f aca="false">IFERROR(INDEX(Comments!$D$2:$D$2001,MATCH(11,Calc!$D$4:$D$2003,0)),"")</f>
        <v/>
      </c>
      <c r="C35" s="15" t="str">
        <f aca="false">IFERROR(INDEX(Comments!$E$2:$E$2001,MATCH(11,Calc!$D$4:$D$2003,0)),"")</f>
        <v/>
      </c>
      <c r="D35" s="15" t="str">
        <f aca="false">IFERROR(INDEX(Comments!$G$2:$G$2001,MATCH(11,Calc!$D$4:$D$2003,0)),"")</f>
        <v/>
      </c>
      <c r="E35" s="15" t="str">
        <f aca="false">IFERROR(INDEX(Comments!$I$2:$I$2001,MATCH(11,Calc!$D$4:$D$2003,0)),"")</f>
        <v/>
      </c>
      <c r="F35" s="15" t="str">
        <f aca="false">IFERROR(INDEX(Comments!$H$2:$H$2001,MATCH(11,Calc!$D$4:$D$2003,0)),"")</f>
        <v/>
      </c>
      <c r="G35" s="15" t="str">
        <f aca="false">IFERROR(INDEX(Comments!$J$2:$J$2001,MATCH(11,Calc!$D$4:$D$2003,0)),"")</f>
        <v/>
      </c>
      <c r="H35" s="15"/>
      <c r="I35" s="43" t="str">
        <f aca="false">IFERROR(INDEX(Comments!$N$2:$N$2001,MATCH(11,Calc!$D$4:$D$2003,0)),"")</f>
        <v/>
      </c>
    </row>
    <row r="36" customFormat="false" ht="43.5" hidden="false" customHeight="true" outlineLevel="0" collapsed="false">
      <c r="A36" s="16" t="str">
        <f aca="false">IFERROR(INDEX(Comments!$C$2:$C$2001,MATCH(12,Calc!$D$4:$D$2003,0)),"")</f>
        <v/>
      </c>
      <c r="B36" s="15" t="str">
        <f aca="false">IFERROR(INDEX(Comments!$D$2:$D$2001,MATCH(12,Calc!$D$4:$D$2003,0)),"")</f>
        <v/>
      </c>
      <c r="C36" s="15" t="str">
        <f aca="false">IFERROR(INDEX(Comments!$E$2:$E$2001,MATCH(12,Calc!$D$4:$D$2003,0)),"")</f>
        <v/>
      </c>
      <c r="D36" s="15" t="str">
        <f aca="false">IFERROR(INDEX(Comments!$G$2:$G$2001,MATCH(12,Calc!$D$4:$D$2003,0)),"")</f>
        <v/>
      </c>
      <c r="E36" s="15" t="str">
        <f aca="false">IFERROR(INDEX(Comments!$I$2:$I$2001,MATCH(12,Calc!$D$4:$D$2003,0)),"")</f>
        <v/>
      </c>
      <c r="F36" s="15" t="str">
        <f aca="false">IFERROR(INDEX(Comments!$H$2:$H$2001,MATCH(12,Calc!$D$4:$D$2003,0)),"")</f>
        <v/>
      </c>
      <c r="G36" s="15" t="str">
        <f aca="false">IFERROR(INDEX(Comments!$J$2:$J$2001,MATCH(12,Calc!$D$4:$D$2003,0)),"")</f>
        <v/>
      </c>
      <c r="H36" s="15"/>
      <c r="I36" s="43" t="str">
        <f aca="false">IFERROR(INDEX(Comments!$N$2:$N$2001,MATCH(12,Calc!$D$4:$D$2003,0)),"")</f>
        <v/>
      </c>
    </row>
    <row r="37" customFormat="false" ht="43.5" hidden="false" customHeight="true" outlineLevel="0" collapsed="false">
      <c r="A37" s="16" t="str">
        <f aca="false">IFERROR(INDEX(Comments!$C$2:$C$2001,MATCH(13,Calc!$D$4:$D$2003,0)),"")</f>
        <v/>
      </c>
      <c r="B37" s="15" t="str">
        <f aca="false">IFERROR(INDEX(Comments!$D$2:$D$2001,MATCH(13,Calc!$D$4:$D$2003,0)),"")</f>
        <v/>
      </c>
      <c r="C37" s="15" t="str">
        <f aca="false">IFERROR(INDEX(Comments!$E$2:$E$2001,MATCH(13,Calc!$D$4:$D$2003,0)),"")</f>
        <v/>
      </c>
      <c r="D37" s="15" t="str">
        <f aca="false">IFERROR(INDEX(Comments!$G$2:$G$2001,MATCH(13,Calc!$D$4:$D$2003,0)),"")</f>
        <v/>
      </c>
      <c r="E37" s="15" t="str">
        <f aca="false">IFERROR(INDEX(Comments!$I$2:$I$2001,MATCH(13,Calc!$D$4:$D$2003,0)),"")</f>
        <v/>
      </c>
      <c r="F37" s="15" t="str">
        <f aca="false">IFERROR(INDEX(Comments!$H$2:$H$2001,MATCH(13,Calc!$D$4:$D$2003,0)),"")</f>
        <v/>
      </c>
      <c r="G37" s="15" t="str">
        <f aca="false">IFERROR(INDEX(Comments!$J$2:$J$2001,MATCH(13,Calc!$D$4:$D$2003,0)),"")</f>
        <v/>
      </c>
      <c r="H37" s="15"/>
      <c r="I37" s="43" t="str">
        <f aca="false">IFERROR(INDEX(Comments!$N$2:$N$2001,MATCH(13,Calc!$D$4:$D$2003,0)),"")</f>
        <v/>
      </c>
    </row>
    <row r="38" customFormat="false" ht="43.5" hidden="false" customHeight="true" outlineLevel="0" collapsed="false">
      <c r="A38" s="16" t="str">
        <f aca="false">IFERROR(INDEX(Comments!$C$2:$C$2001,MATCH(14,Calc!$D$4:$D$2003,0)),"")</f>
        <v/>
      </c>
      <c r="B38" s="15" t="str">
        <f aca="false">IFERROR(INDEX(Comments!$D$2:$D$2001,MATCH(14,Calc!$D$4:$D$2003,0)),"")</f>
        <v/>
      </c>
      <c r="C38" s="15" t="str">
        <f aca="false">IFERROR(INDEX(Comments!$E$2:$E$2001,MATCH(14,Calc!$D$4:$D$2003,0)),"")</f>
        <v/>
      </c>
      <c r="D38" s="15" t="str">
        <f aca="false">IFERROR(INDEX(Comments!$G$2:$G$2001,MATCH(14,Calc!$D$4:$D$2003,0)),"")</f>
        <v/>
      </c>
      <c r="E38" s="15" t="str">
        <f aca="false">IFERROR(INDEX(Comments!$I$2:$I$2001,MATCH(14,Calc!$D$4:$D$2003,0)),"")</f>
        <v/>
      </c>
      <c r="F38" s="15" t="str">
        <f aca="false">IFERROR(INDEX(Comments!$H$2:$H$2001,MATCH(14,Calc!$D$4:$D$2003,0)),"")</f>
        <v/>
      </c>
      <c r="G38" s="15" t="str">
        <f aca="false">IFERROR(INDEX(Comments!$J$2:$J$2001,MATCH(14,Calc!$D$4:$D$2003,0)),"")</f>
        <v/>
      </c>
      <c r="H38" s="15"/>
      <c r="I38" s="43" t="str">
        <f aca="false">IFERROR(INDEX(Comments!$N$2:$N$2001,MATCH(14,Calc!$D$4:$D$2003,0)),"")</f>
        <v/>
      </c>
    </row>
    <row r="39" customFormat="false" ht="43.5" hidden="false" customHeight="true" outlineLevel="0" collapsed="false">
      <c r="A39" s="16" t="str">
        <f aca="false">IFERROR(INDEX(Comments!$C$2:$C$2001,MATCH(15,Calc!$D$4:$D$2003,0)),"")</f>
        <v/>
      </c>
      <c r="B39" s="15" t="str">
        <f aca="false">IFERROR(INDEX(Comments!$D$2:$D$2001,MATCH(15,Calc!$D$4:$D$2003,0)),"")</f>
        <v/>
      </c>
      <c r="C39" s="15" t="str">
        <f aca="false">IFERROR(INDEX(Comments!$E$2:$E$2001,MATCH(15,Calc!$D$4:$D$2003,0)),"")</f>
        <v/>
      </c>
      <c r="D39" s="15" t="str">
        <f aca="false">IFERROR(INDEX(Comments!$G$2:$G$2001,MATCH(15,Calc!$D$4:$D$2003,0)),"")</f>
        <v/>
      </c>
      <c r="E39" s="15" t="str">
        <f aca="false">IFERROR(INDEX(Comments!$I$2:$I$2001,MATCH(15,Calc!$D$4:$D$2003,0)),"")</f>
        <v/>
      </c>
      <c r="F39" s="15" t="str">
        <f aca="false">IFERROR(INDEX(Comments!$H$2:$H$2001,MATCH(15,Calc!$D$4:$D$2003,0)),"")</f>
        <v/>
      </c>
      <c r="G39" s="15" t="str">
        <f aca="false">IFERROR(INDEX(Comments!$J$2:$J$2001,MATCH(15,Calc!$D$4:$D$2003,0)),"")</f>
        <v/>
      </c>
      <c r="H39" s="15"/>
      <c r="I39" s="43" t="str">
        <f aca="false">IFERROR(INDEX(Comments!$N$2:$N$2001,MATCH(15,Calc!$D$4:$D$2003,0)),"")</f>
        <v/>
      </c>
    </row>
    <row r="40" customFormat="false" ht="43.5" hidden="false" customHeight="true" outlineLevel="0" collapsed="false">
      <c r="A40" s="16" t="str">
        <f aca="false">IFERROR(INDEX(Comments!$C$2:$C$2001,MATCH(16,Calc!$D$4:$D$2003,0)),"")</f>
        <v/>
      </c>
      <c r="B40" s="15" t="str">
        <f aca="false">IFERROR(INDEX(Comments!$D$2:$D$2001,MATCH(16,Calc!$D$4:$D$2003,0)),"")</f>
        <v/>
      </c>
      <c r="C40" s="15" t="str">
        <f aca="false">IFERROR(INDEX(Comments!$E$2:$E$2001,MATCH(16,Calc!$D$4:$D$2003,0)),"")</f>
        <v/>
      </c>
      <c r="D40" s="15" t="str">
        <f aca="false">IFERROR(INDEX(Comments!$G$2:$G$2001,MATCH(16,Calc!$D$4:$D$2003,0)),"")</f>
        <v/>
      </c>
      <c r="E40" s="15" t="str">
        <f aca="false">IFERROR(INDEX(Comments!$I$2:$I$2001,MATCH(16,Calc!$D$4:$D$2003,0)),"")</f>
        <v/>
      </c>
      <c r="F40" s="15" t="str">
        <f aca="false">IFERROR(INDEX(Comments!$H$2:$H$2001,MATCH(16,Calc!$D$4:$D$2003,0)),"")</f>
        <v/>
      </c>
      <c r="G40" s="15" t="str">
        <f aca="false">IFERROR(INDEX(Comments!$J$2:$J$2001,MATCH(16,Calc!$D$4:$D$2003,0)),"")</f>
        <v/>
      </c>
      <c r="H40" s="15"/>
      <c r="I40" s="43" t="str">
        <f aca="false">IFERROR(INDEX(Comments!$N$2:$N$2001,MATCH(16,Calc!$D$4:$D$2003,0)),"")</f>
        <v/>
      </c>
    </row>
    <row r="41" customFormat="false" ht="43.5" hidden="false" customHeight="true" outlineLevel="0" collapsed="false">
      <c r="A41" s="16" t="str">
        <f aca="false">IFERROR(INDEX(Comments!$C$2:$C$2001,MATCH(17,Calc!$D$4:$D$2003,0)),"")</f>
        <v/>
      </c>
      <c r="B41" s="15" t="str">
        <f aca="false">IFERROR(INDEX(Comments!$D$2:$D$2001,MATCH(17,Calc!$D$4:$D$2003,0)),"")</f>
        <v/>
      </c>
      <c r="C41" s="15" t="str">
        <f aca="false">IFERROR(INDEX(Comments!$E$2:$E$2001,MATCH(17,Calc!$D$4:$D$2003,0)),"")</f>
        <v/>
      </c>
      <c r="D41" s="15" t="str">
        <f aca="false">IFERROR(INDEX(Comments!$G$2:$G$2001,MATCH(17,Calc!$D$4:$D$2003,0)),"")</f>
        <v/>
      </c>
      <c r="E41" s="15" t="str">
        <f aca="false">IFERROR(INDEX(Comments!$I$2:$I$2001,MATCH(17,Calc!$D$4:$D$2003,0)),"")</f>
        <v/>
      </c>
      <c r="F41" s="15" t="str">
        <f aca="false">IFERROR(INDEX(Comments!$H$2:$H$2001,MATCH(17,Calc!$D$4:$D$2003,0)),"")</f>
        <v/>
      </c>
      <c r="G41" s="15" t="str">
        <f aca="false">IFERROR(INDEX(Comments!$J$2:$J$2001,MATCH(17,Calc!$D$4:$D$2003,0)),"")</f>
        <v/>
      </c>
      <c r="H41" s="15"/>
      <c r="I41" s="43" t="str">
        <f aca="false">IFERROR(INDEX(Comments!$N$2:$N$2001,MATCH(17,Calc!$D$4:$D$2003,0)),"")</f>
        <v/>
      </c>
    </row>
    <row r="42" customFormat="false" ht="43.5" hidden="false" customHeight="true" outlineLevel="0" collapsed="false">
      <c r="A42" s="16" t="str">
        <f aca="false">IFERROR(INDEX(Comments!$C$2:$C$2001,MATCH(18,Calc!$D$4:$D$2003,0)),"")</f>
        <v/>
      </c>
      <c r="B42" s="15" t="str">
        <f aca="false">IFERROR(INDEX(Comments!$D$2:$D$2001,MATCH(18,Calc!$D$4:$D$2003,0)),"")</f>
        <v/>
      </c>
      <c r="C42" s="15" t="str">
        <f aca="false">IFERROR(INDEX(Comments!$E$2:$E$2001,MATCH(18,Calc!$D$4:$D$2003,0)),"")</f>
        <v/>
      </c>
      <c r="D42" s="15" t="str">
        <f aca="false">IFERROR(INDEX(Comments!$G$2:$G$2001,MATCH(18,Calc!$D$4:$D$2003,0)),"")</f>
        <v/>
      </c>
      <c r="E42" s="15" t="str">
        <f aca="false">IFERROR(INDEX(Comments!$I$2:$I$2001,MATCH(18,Calc!$D$4:$D$2003,0)),"")</f>
        <v/>
      </c>
      <c r="F42" s="15" t="str">
        <f aca="false">IFERROR(INDEX(Comments!$H$2:$H$2001,MATCH(18,Calc!$D$4:$D$2003,0)),"")</f>
        <v/>
      </c>
      <c r="G42" s="15" t="str">
        <f aca="false">IFERROR(INDEX(Comments!$J$2:$J$2001,MATCH(18,Calc!$D$4:$D$2003,0)),"")</f>
        <v/>
      </c>
      <c r="H42" s="15"/>
      <c r="I42" s="43" t="str">
        <f aca="false">IFERROR(INDEX(Comments!$N$2:$N$2001,MATCH(18,Calc!$D$4:$D$2003,0)),"")</f>
        <v/>
      </c>
    </row>
    <row r="43" customFormat="false" ht="43.5" hidden="false" customHeight="true" outlineLevel="0" collapsed="false">
      <c r="A43" s="16" t="str">
        <f aca="false">IFERROR(INDEX(Comments!$C$2:$C$2001,MATCH(19,Calc!$D$4:$D$2003,0)),"")</f>
        <v/>
      </c>
      <c r="B43" s="15" t="str">
        <f aca="false">IFERROR(INDEX(Comments!$D$2:$D$2001,MATCH(19,Calc!$D$4:$D$2003,0)),"")</f>
        <v/>
      </c>
      <c r="C43" s="15" t="str">
        <f aca="false">IFERROR(INDEX(Comments!$E$2:$E$2001,MATCH(19,Calc!$D$4:$D$2003,0)),"")</f>
        <v/>
      </c>
      <c r="D43" s="15" t="str">
        <f aca="false">IFERROR(INDEX(Comments!$G$2:$G$2001,MATCH(19,Calc!$D$4:$D$2003,0)),"")</f>
        <v/>
      </c>
      <c r="E43" s="15" t="str">
        <f aca="false">IFERROR(INDEX(Comments!$I$2:$I$2001,MATCH(19,Calc!$D$4:$D$2003,0)),"")</f>
        <v/>
      </c>
      <c r="F43" s="15" t="str">
        <f aca="false">IFERROR(INDEX(Comments!$H$2:$H$2001,MATCH(19,Calc!$D$4:$D$2003,0)),"")</f>
        <v/>
      </c>
      <c r="G43" s="15" t="str">
        <f aca="false">IFERROR(INDEX(Comments!$J$2:$J$2001,MATCH(19,Calc!$D$4:$D$2003,0)),"")</f>
        <v/>
      </c>
      <c r="H43" s="15"/>
      <c r="I43" s="43" t="str">
        <f aca="false">IFERROR(INDEX(Comments!$N$2:$N$2001,MATCH(19,Calc!$D$4:$D$2003,0)),"")</f>
        <v/>
      </c>
    </row>
    <row r="44" customFormat="false" ht="43.5" hidden="false" customHeight="true" outlineLevel="0" collapsed="false">
      <c r="A44" s="16" t="str">
        <f aca="false">IFERROR(INDEX(Comments!$C$2:$C$2001,MATCH(20,Calc!$D$4:$D$2003,0)),"")</f>
        <v/>
      </c>
      <c r="B44" s="15" t="str">
        <f aca="false">IFERROR(INDEX(Comments!$D$2:$D$2001,MATCH(20,Calc!$D$4:$D$2003,0)),"")</f>
        <v/>
      </c>
      <c r="C44" s="15" t="str">
        <f aca="false">IFERROR(INDEX(Comments!$E$2:$E$2001,MATCH(20,Calc!$D$4:$D$2003,0)),"")</f>
        <v/>
      </c>
      <c r="D44" s="15" t="str">
        <f aca="false">IFERROR(INDEX(Comments!$G$2:$G$2001,MATCH(20,Calc!$D$4:$D$2003,0)),"")</f>
        <v/>
      </c>
      <c r="E44" s="15" t="str">
        <f aca="false">IFERROR(INDEX(Comments!$I$2:$I$2001,MATCH(20,Calc!$D$4:$D$2003,0)),"")</f>
        <v/>
      </c>
      <c r="F44" s="15" t="str">
        <f aca="false">IFERROR(INDEX(Comments!$H$2:$H$2001,MATCH(20,Calc!$D$4:$D$2003,0)),"")</f>
        <v/>
      </c>
      <c r="G44" s="15" t="str">
        <f aca="false">IFERROR(INDEX(Comments!$J$2:$J$2001,MATCH(20,Calc!$D$4:$D$2003,0)),"")</f>
        <v/>
      </c>
      <c r="H44" s="15"/>
      <c r="I44" s="43" t="str">
        <f aca="false">IFERROR(INDEX(Comments!$N$2:$N$2001,MATCH(20,Calc!$D$4:$D$2003,0)),"")</f>
        <v/>
      </c>
    </row>
    <row r="45" customFormat="false" ht="15" hidden="false" customHeight="false" outlineLevel="0" collapsed="false">
      <c r="A45" s="18" t="str">
        <f aca="false">IFERROR(IF(INDEX(Drafts!$R$1:$R$251,MATCH($C$3,Drafts!$A$1:$A$251,0))&gt;20,"Showing 20 of "&amp;INDEX(Drafts!$R$1:$R$251,MATCH($C$3,Drafts!$A$1:$A$251,0))&amp;" comments, open ones first. Filter the Comments tab by code to see the rest.",""),"")</f>
        <v/>
      </c>
      <c r="B45" s="18"/>
      <c r="C45" s="18"/>
      <c r="D45" s="18"/>
      <c r="E45" s="18"/>
      <c r="F45" s="18"/>
      <c r="G45" s="18"/>
      <c r="H45" s="18"/>
      <c r="I45" s="18"/>
    </row>
    <row r="47" customFormat="false" ht="15" hidden="false" customHeight="true" outlineLevel="0" collapsed="false">
      <c r="A47" s="40" t="s">
        <v>97</v>
      </c>
      <c r="B47" s="40"/>
      <c r="C47" s="40"/>
      <c r="D47" s="40"/>
      <c r="E47" s="40"/>
      <c r="F47" s="40"/>
    </row>
    <row r="48" customFormat="false" ht="15" hidden="false" customHeight="false" outlineLevel="0" collapsed="false">
      <c r="A48" s="41" t="s">
        <v>98</v>
      </c>
      <c r="B48" s="41" t="s">
        <v>99</v>
      </c>
      <c r="C48" s="41" t="s">
        <v>20</v>
      </c>
      <c r="D48" s="42" t="s">
        <v>21</v>
      </c>
      <c r="E48" s="42"/>
      <c r="F48" s="42"/>
      <c r="G48" s="42"/>
      <c r="H48" s="41" t="s">
        <v>22</v>
      </c>
      <c r="I48" s="41" t="s">
        <v>100</v>
      </c>
    </row>
    <row r="49" customFormat="false" ht="30" hidden="false" customHeight="true" outlineLevel="0" collapsed="false">
      <c r="A49" s="21" t="str">
        <f aca="false">IFERROR(INDEX('Deferred edits'!$A$2:$A$201,MATCH(1,Calc!$G$4:$G$203,0)),"")</f>
        <v>D-001</v>
      </c>
      <c r="B49" s="21" t="str">
        <f aca="false">IFERROR(INDEX('Deferred edits'!$B$2:$B$201,MATCH(1,Calc!$G$4:$G$203,0)),"")</f>
        <v>KEB</v>
      </c>
      <c r="C49" s="21" t="str">
        <f aca="false">IFERROR(INDEX('Deferred edits'!$C$2:$C$201,MATCH(1,Calc!$G$4:$G$203,0)),"")</f>
        <v>DFK</v>
      </c>
      <c r="D49" s="21" t="str">
        <f aca="false">IFERROR(IF(INDEX('Deferred edits'!$J$2:$J$201,MATCH(1,Calc!$G$4:$G$203,0))="Proposed",IF(RIGHT(INDEX('Deferred edits'!$D$2:$D$201,MATCH(1,Calc!$G$4:$G$203,0)),1)=".",LEFT(INDEX('Deferred edits'!$D$2:$D$201,MATCH(1,Calc!$G$4:$G$203,0)),LEN(INDEX('Deferred edits'!$D$2:$D$201,MATCH(1,Calc!$G$4:$G$203,0)))-1)&amp;" (proposed).",INDEX('Deferred edits'!$D$2:$D$201,MATCH(1,Calc!$G$4:$G$203,0))&amp;" (proposed)"),INDEX('Deferred edits'!$D$2:$D$201,MATCH(1,Calc!$G$4:$G$203,0))),"")</f>
        <v>Move the donor-influence sentence from KEB to DFK.</v>
      </c>
      <c r="E49" s="21"/>
      <c r="F49" s="21"/>
      <c r="G49" s="21"/>
      <c r="H49" s="22" t="n">
        <f aca="false">IFERROR(INDEX('Deferred edits'!$E$2:$E$201,MATCH(1,Calc!$G$4:$G$203,0)),"")</f>
        <v>46296</v>
      </c>
      <c r="I49" s="21" t="str">
        <f aca="false">IFERROR(INDEX('Deferred edits'!$I$2:$I$201,MATCH(1,Calc!$G$4:$G$203,0)),"")</f>
        <v>Waiting</v>
      </c>
    </row>
    <row r="50" customFormat="false" ht="30" hidden="false" customHeight="true" outlineLevel="0" collapsed="false">
      <c r="A50" s="21" t="str">
        <f aca="false">IFERROR(INDEX('Deferred edits'!$A$2:$A$201,MATCH(2,Calc!$G$4:$G$203,0)),"")</f>
        <v/>
      </c>
      <c r="B50" s="21" t="str">
        <f aca="false">IFERROR(INDEX('Deferred edits'!$B$2:$B$201,MATCH(2,Calc!$G$4:$G$203,0)),"")</f>
        <v/>
      </c>
      <c r="C50" s="21" t="str">
        <f aca="false">IFERROR(INDEX('Deferred edits'!$C$2:$C$201,MATCH(2,Calc!$G$4:$G$203,0)),"")</f>
        <v/>
      </c>
      <c r="D50" s="21" t="str">
        <f aca="false">IFERROR(IF(INDEX('Deferred edits'!$J$2:$J$201,MATCH(2,Calc!$G$4:$G$203,0))="Proposed",IF(RIGHT(INDEX('Deferred edits'!$D$2:$D$201,MATCH(2,Calc!$G$4:$G$203,0)),1)=".",LEFT(INDEX('Deferred edits'!$D$2:$D$201,MATCH(2,Calc!$G$4:$G$203,0)),LEN(INDEX('Deferred edits'!$D$2:$D$201,MATCH(2,Calc!$G$4:$G$203,0)))-1)&amp;" (proposed).",INDEX('Deferred edits'!$D$2:$D$201,MATCH(2,Calc!$G$4:$G$203,0))&amp;" (proposed)"),INDEX('Deferred edits'!$D$2:$D$201,MATCH(2,Calc!$G$4:$G$203,0))),"")</f>
        <v/>
      </c>
      <c r="E50" s="21"/>
      <c r="F50" s="21"/>
      <c r="G50" s="21"/>
      <c r="H50" s="22" t="str">
        <f aca="false">IFERROR(INDEX('Deferred edits'!$E$2:$E$201,MATCH(2,Calc!$G$4:$G$203,0)),"")</f>
        <v/>
      </c>
      <c r="I50" s="21" t="str">
        <f aca="false">IFERROR(INDEX('Deferred edits'!$I$2:$I$201,MATCH(2,Calc!$G$4:$G$203,0)),"")</f>
        <v/>
      </c>
    </row>
    <row r="51" customFormat="false" ht="30" hidden="false" customHeight="true" outlineLevel="0" collapsed="false">
      <c r="A51" s="21" t="str">
        <f aca="false">IFERROR(INDEX('Deferred edits'!$A$2:$A$201,MATCH(3,Calc!$G$4:$G$203,0)),"")</f>
        <v/>
      </c>
      <c r="B51" s="21" t="str">
        <f aca="false">IFERROR(INDEX('Deferred edits'!$B$2:$B$201,MATCH(3,Calc!$G$4:$G$203,0)),"")</f>
        <v/>
      </c>
      <c r="C51" s="21" t="str">
        <f aca="false">IFERROR(INDEX('Deferred edits'!$C$2:$C$201,MATCH(3,Calc!$G$4:$G$203,0)),"")</f>
        <v/>
      </c>
      <c r="D51" s="21" t="str">
        <f aca="false">IFERROR(IF(INDEX('Deferred edits'!$J$2:$J$201,MATCH(3,Calc!$G$4:$G$203,0))="Proposed",IF(RIGHT(INDEX('Deferred edits'!$D$2:$D$201,MATCH(3,Calc!$G$4:$G$203,0)),1)=".",LEFT(INDEX('Deferred edits'!$D$2:$D$201,MATCH(3,Calc!$G$4:$G$203,0)),LEN(INDEX('Deferred edits'!$D$2:$D$201,MATCH(3,Calc!$G$4:$G$203,0)))-1)&amp;" (proposed).",INDEX('Deferred edits'!$D$2:$D$201,MATCH(3,Calc!$G$4:$G$203,0))&amp;" (proposed)"),INDEX('Deferred edits'!$D$2:$D$201,MATCH(3,Calc!$G$4:$G$203,0))),"")</f>
        <v/>
      </c>
      <c r="E51" s="21"/>
      <c r="F51" s="21"/>
      <c r="G51" s="21"/>
      <c r="H51" s="22" t="str">
        <f aca="false">IFERROR(INDEX('Deferred edits'!$E$2:$E$201,MATCH(3,Calc!$G$4:$G$203,0)),"")</f>
        <v/>
      </c>
      <c r="I51" s="21" t="str">
        <f aca="false">IFERROR(INDEX('Deferred edits'!$I$2:$I$201,MATCH(3,Calc!$G$4:$G$203,0)),"")</f>
        <v/>
      </c>
    </row>
    <row r="52" customFormat="false" ht="30" hidden="false" customHeight="true" outlineLevel="0" collapsed="false">
      <c r="A52" s="21" t="str">
        <f aca="false">IFERROR(INDEX('Deferred edits'!$A$2:$A$201,MATCH(4,Calc!$G$4:$G$203,0)),"")</f>
        <v/>
      </c>
      <c r="B52" s="21" t="str">
        <f aca="false">IFERROR(INDEX('Deferred edits'!$B$2:$B$201,MATCH(4,Calc!$G$4:$G$203,0)),"")</f>
        <v/>
      </c>
      <c r="C52" s="21" t="str">
        <f aca="false">IFERROR(INDEX('Deferred edits'!$C$2:$C$201,MATCH(4,Calc!$G$4:$G$203,0)),"")</f>
        <v/>
      </c>
      <c r="D52" s="21" t="str">
        <f aca="false">IFERROR(IF(INDEX('Deferred edits'!$J$2:$J$201,MATCH(4,Calc!$G$4:$G$203,0))="Proposed",IF(RIGHT(INDEX('Deferred edits'!$D$2:$D$201,MATCH(4,Calc!$G$4:$G$203,0)),1)=".",LEFT(INDEX('Deferred edits'!$D$2:$D$201,MATCH(4,Calc!$G$4:$G$203,0)),LEN(INDEX('Deferred edits'!$D$2:$D$201,MATCH(4,Calc!$G$4:$G$203,0)))-1)&amp;" (proposed).",INDEX('Deferred edits'!$D$2:$D$201,MATCH(4,Calc!$G$4:$G$203,0))&amp;" (proposed)"),INDEX('Deferred edits'!$D$2:$D$201,MATCH(4,Calc!$G$4:$G$203,0))),"")</f>
        <v/>
      </c>
      <c r="E52" s="21"/>
      <c r="F52" s="21"/>
      <c r="G52" s="21"/>
      <c r="H52" s="22" t="str">
        <f aca="false">IFERROR(INDEX('Deferred edits'!$E$2:$E$201,MATCH(4,Calc!$G$4:$G$203,0)),"")</f>
        <v/>
      </c>
      <c r="I52" s="21" t="str">
        <f aca="false">IFERROR(INDEX('Deferred edits'!$I$2:$I$201,MATCH(4,Calc!$G$4:$G$203,0)),"")</f>
        <v/>
      </c>
    </row>
  </sheetData>
  <mergeCells count="51">
    <mergeCell ref="B5:D5"/>
    <mergeCell ref="F5:I5"/>
    <mergeCell ref="B6:D6"/>
    <mergeCell ref="F6:I6"/>
    <mergeCell ref="B7:D7"/>
    <mergeCell ref="F7:I7"/>
    <mergeCell ref="B8:D8"/>
    <mergeCell ref="F8:I8"/>
    <mergeCell ref="B9:D9"/>
    <mergeCell ref="F9:I9"/>
    <mergeCell ref="B10:D10"/>
    <mergeCell ref="F10:I10"/>
    <mergeCell ref="B11:D11"/>
    <mergeCell ref="F11:I11"/>
    <mergeCell ref="B13:I13"/>
    <mergeCell ref="B14:I14"/>
    <mergeCell ref="A16:F16"/>
    <mergeCell ref="F17:G17"/>
    <mergeCell ref="F18:G18"/>
    <mergeCell ref="F19:G19"/>
    <mergeCell ref="F20:G20"/>
    <mergeCell ref="F21:G21"/>
    <mergeCell ref="A23:F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8"/>
    <mergeCell ref="G39:H39"/>
    <mergeCell ref="G40:H40"/>
    <mergeCell ref="G41:H41"/>
    <mergeCell ref="G42:H42"/>
    <mergeCell ref="G43:H43"/>
    <mergeCell ref="G44:H44"/>
    <mergeCell ref="A45:I45"/>
    <mergeCell ref="A47:F47"/>
    <mergeCell ref="D48:G48"/>
    <mergeCell ref="D49:G49"/>
    <mergeCell ref="D50:G50"/>
    <mergeCell ref="D51:G51"/>
    <mergeCell ref="D52:G52"/>
  </mergeCells>
  <conditionalFormatting sqref="B7:D7">
    <cfRule type="expression" priority="2" aboveAverage="0" equalAverage="0" bottom="0" percent="0" rank="0" text="" dxfId="0">
      <formula>OR($B$7="Ready for action",$B$7="Second read",$B$7="First read: comment window")</formula>
    </cfRule>
    <cfRule type="expression" priority="3" aboveAverage="0" equalAverage="0" bottom="0" percent="0" rank="0" text="" dxfId="1">
      <formula>OR($B$7="Back in committee",$B$7="Committee review")</formula>
    </cfRule>
    <cfRule type="expression" priority="4" aboveAverage="0" equalAverage="0" bottom="0" percent="0" rank="0" text="" dxfId="2">
      <formula>OR($B$7="Held",$B$7="Drafting",$B$7="Regulation work")</formula>
    </cfRule>
    <cfRule type="expression" priority="5" aboveAverage="0" equalAverage="0" bottom="0" percent="0" rank="0" text="" dxfId="3">
      <formula>OR($B$7="Adopted",$B$7="Withdrawn")</formula>
    </cfRule>
  </conditionalFormatting>
  <conditionalFormatting sqref="F11:I11">
    <cfRule type="expression" priority="6" aboveAverage="0" equalAverage="0" bottom="0" percent="0" rank="0" text="" dxfId="4">
      <formula>AND(ISNUMBER($F$11),$F$11&lt;=AsOfDate+7)</formula>
    </cfRule>
  </conditionalFormatting>
  <conditionalFormatting sqref="F7:I7">
    <cfRule type="expression" priority="7" aboveAverage="0" equalAverage="0" bottom="0" percent="0" rank="0" text="" dxfId="4">
      <formula>AND(ISNUMBER($F$7),$F$7&lt;AsOfDate,$F$6&lt;&gt;"Complete",$F$6&lt;&gt;"Not needed")</formula>
    </cfRule>
  </conditionalFormatting>
  <conditionalFormatting sqref="B9:D10">
    <cfRule type="expression" priority="8" aboveAverage="0" equalAverage="0" bottom="0" percent="0" rank="0" text="" dxfId="5">
      <formula>LEFT($B9,4)="Open"</formula>
    </cfRule>
  </conditionalFormatting>
  <conditionalFormatting sqref="A25:I44">
    <cfRule type="expression" priority="9" aboveAverage="0" equalAverage="0" bottom="0" percent="0" rank="0" text="" dxfId="6">
      <formula>$E25="Open: needs a decision"</formula>
    </cfRule>
    <cfRule type="expression" priority="10" aboveAverage="0" equalAverage="0" bottom="0" percent="0" rank="0" text="" dxfId="7">
      <formula>$I25="Open"</formula>
    </cfRule>
  </conditionalFormatting>
  <conditionalFormatting sqref="H18:H45">
    <cfRule type="expression" priority="11" aboveAverage="0" equalAverage="0" bottom="0" percent="0" rank="0" text="" dxfId="4">
      <formula>AND($A18&lt;&gt;"",IFERROR(INDEX(Versions!$N$2:$N$501,MATCH($A18,Versions!$A$2:$A$501,0)),"")="Incomplete")</formula>
    </cfRule>
  </conditionalFormatting>
  <conditionalFormatting sqref="A18:I45">
    <cfRule type="expression" priority="12" aboveAverage="0" equalAverage="0" bottom="0" percent="0" rank="0" text="" dxfId="8">
      <formula>$I18="Yes"</formula>
    </cfRule>
    <cfRule type="expression" priority="13" aboveAverage="0" equalAverage="0" bottom="0" percent="0" rank="0" text="" dxfId="9">
      <formula>AND($A18&lt;&gt;"",$H18="No")</formula>
    </cfRule>
  </conditionalFormatting>
  <conditionalFormatting sqref="A49:I52">
    <cfRule type="expression" priority="14" aboveAverage="0" equalAverage="0" bottom="0" percent="0" rank="0" text="" dxfId="7">
      <formula>LEFT($I49,1)="●"</formula>
    </cfRule>
  </conditionalFormatting>
  <dataValidations count="1">
    <dataValidation allowBlank="false" errorStyle="stop" operator="between" showDropDown="false" showErrorMessage="false" showInputMessage="false" sqref="C3" type="list">
      <formula1>Drafts!$A$2:$A$251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2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6"/>
    <col collapsed="false" customWidth="true" hidden="false" outlineLevel="0" max="3" min="3" style="0" width="15"/>
    <col collapsed="false" customWidth="true" hidden="false" outlineLevel="0" max="4" min="4" style="0" width="18"/>
    <col collapsed="false" customWidth="true" hidden="false" outlineLevel="0" max="5" min="5" style="0" width="20"/>
    <col collapsed="false" customWidth="true" hidden="false" outlineLevel="0" max="6" min="6" style="0" width="38"/>
    <col collapsed="false" customWidth="true" hidden="false" outlineLevel="0" max="7" min="7" style="0" width="12"/>
    <col collapsed="false" customWidth="true" hidden="false" outlineLevel="0" max="8" min="8" style="0" width="38"/>
    <col collapsed="false" customWidth="true" hidden="false" outlineLevel="0" max="9" min="9" style="0" width="12"/>
    <col collapsed="false" customWidth="true" hidden="false" outlineLevel="0" max="10" min="10" style="0" width="44"/>
    <col collapsed="false" customWidth="true" hidden="false" outlineLevel="0" max="12" min="11" style="0" width="12"/>
    <col collapsed="false" customWidth="true" hidden="false" outlineLevel="0" max="13" min="13" style="0" width="24"/>
    <col collapsed="false" customWidth="true" hidden="false" outlineLevel="0" max="14" min="14" style="0" width="18"/>
    <col collapsed="false" customWidth="true" hidden="false" outlineLevel="0" max="16" min="15" style="0" width="12"/>
    <col collapsed="false" customWidth="true" hidden="false" outlineLevel="0" max="17" min="17" style="0" width="11"/>
    <col collapsed="false" customWidth="true" hidden="false" outlineLevel="0" max="20" min="18" style="0" width="10"/>
    <col collapsed="false" customWidth="true" hidden="false" outlineLevel="0" max="21" min="21" style="0" width="18"/>
    <col collapsed="false" customWidth="true" hidden="false" outlineLevel="0" max="24" min="22" style="0" width="30"/>
  </cols>
  <sheetData>
    <row r="1" customFormat="false" ht="31.5" hidden="false" customHeight="true" outlineLevel="0" collapsed="false">
      <c r="A1" s="44" t="s">
        <v>101</v>
      </c>
      <c r="B1" s="44" t="s">
        <v>102</v>
      </c>
      <c r="C1" s="44" t="s">
        <v>103</v>
      </c>
      <c r="D1" s="44" t="s">
        <v>104</v>
      </c>
      <c r="E1" s="44" t="s">
        <v>105</v>
      </c>
      <c r="F1" s="44" t="s">
        <v>106</v>
      </c>
      <c r="G1" s="44" t="s">
        <v>107</v>
      </c>
      <c r="H1" s="44" t="s">
        <v>108</v>
      </c>
      <c r="I1" s="44" t="s">
        <v>109</v>
      </c>
      <c r="J1" s="44" t="s">
        <v>110</v>
      </c>
      <c r="K1" s="45" t="s">
        <v>111</v>
      </c>
      <c r="L1" s="45" t="s">
        <v>112</v>
      </c>
      <c r="M1" s="44" t="s">
        <v>113</v>
      </c>
      <c r="N1" s="44" t="s">
        <v>114</v>
      </c>
      <c r="O1" s="44" t="s">
        <v>115</v>
      </c>
      <c r="P1" s="45" t="s">
        <v>116</v>
      </c>
      <c r="Q1" s="45" t="s">
        <v>117</v>
      </c>
      <c r="R1" s="45" t="s">
        <v>118</v>
      </c>
      <c r="S1" s="45" t="s">
        <v>119</v>
      </c>
      <c r="T1" s="45" t="s">
        <v>120</v>
      </c>
      <c r="U1" s="45" t="s">
        <v>121</v>
      </c>
      <c r="V1" s="44" t="s">
        <v>122</v>
      </c>
      <c r="W1" s="44" t="s">
        <v>123</v>
      </c>
      <c r="X1" s="44" t="s">
        <v>124</v>
      </c>
    </row>
    <row r="2" customFormat="false" ht="46.25" hidden="false" customHeight="false" outlineLevel="0" collapsed="false">
      <c r="A2" s="46" t="s">
        <v>125</v>
      </c>
      <c r="B2" s="46" t="s">
        <v>126</v>
      </c>
      <c r="C2" s="46" t="s">
        <v>127</v>
      </c>
      <c r="D2" s="46" t="s">
        <v>128</v>
      </c>
      <c r="E2" s="46" t="s">
        <v>2</v>
      </c>
      <c r="F2" s="46" t="s">
        <v>129</v>
      </c>
      <c r="G2" s="47" t="n">
        <v>46300</v>
      </c>
      <c r="H2" s="46" t="s">
        <v>130</v>
      </c>
      <c r="I2" s="47" t="n">
        <v>46323</v>
      </c>
      <c r="J2" s="46" t="s">
        <v>131</v>
      </c>
      <c r="K2" s="48" t="str">
        <f aca="false">IF(W2="","",HYPERLINK(W2,"Simbli"))</f>
        <v/>
      </c>
      <c r="L2" s="48" t="str">
        <f aca="false">IF(X2="","",HYPERLINK(X2,"Simbli"))</f>
        <v>Simbli</v>
      </c>
      <c r="M2" s="46" t="s">
        <v>132</v>
      </c>
      <c r="N2" s="46" t="s">
        <v>133</v>
      </c>
      <c r="O2" s="46"/>
      <c r="P2" s="46" t="str">
        <f aca="false">IF(OR(A2="",O2=""),"",O2+RegDays)</f>
        <v/>
      </c>
      <c r="Q2" s="46" t="str">
        <f aca="false">IF(A2="","",IF(SUMPRODUCT(MAX((Versions!$B$2:$B$501=A2)*(Versions!$M$2:$M$501="Yes")*ROW(Versions!$B$2:$B$501)))=0,"",INDEX(Versions!$A$1:$A$501,SUMPRODUCT(MAX((Versions!$B$2:$B$501=A2)*(Versions!$M$2:$M$501="Yes")*ROW(Versions!$B$2:$B$501))))))</f>
        <v>V-001</v>
      </c>
      <c r="R2" s="46" t="n">
        <f aca="false">IF(A2="","",COUNTIF(Comments!$B$2:$B$2001,A2))</f>
        <v>6</v>
      </c>
      <c r="S2" s="46" t="n">
        <f aca="false">IF(A2="","",COUNTIFS(Comments!$B$2:$B$2001,A2,Comments!$N$2:$N$2001,"Open"))</f>
        <v>4</v>
      </c>
      <c r="T2" s="46" t="n">
        <f aca="false">IF(A2="","",COUNTIFS('Deferred edits'!$C$2:$C$201,A2,'Deferred edits'!$G$2:$G$201,"Waiting"))</f>
        <v>0</v>
      </c>
      <c r="U2" s="46" t="str">
        <f aca="false">IF(A2="","",IF(AND(I2&lt;&gt;"",I2&lt;AsOfDate),"▲ Next date passed",IF(AND(I2&lt;&gt;"",I2&lt;=AsOfDate+7),"● Next date within 7 days",IF(AND(P2&lt;&gt;"",P2&lt;AsOfDate,N2&lt;&gt;"Complete"),"▲ Regulation past target",IF(S2&gt;0,"Open comments","")))))</f>
        <v>Open comments</v>
      </c>
      <c r="V2" s="46" t="s">
        <v>134</v>
      </c>
      <c r="W2" s="46"/>
      <c r="X2" s="46" t="s">
        <v>135</v>
      </c>
    </row>
    <row r="3" customFormat="false" ht="46.25" hidden="false" customHeight="false" outlineLevel="0" collapsed="false">
      <c r="A3" s="46" t="s">
        <v>136</v>
      </c>
      <c r="B3" s="46" t="s">
        <v>137</v>
      </c>
      <c r="C3" s="46" t="s">
        <v>138</v>
      </c>
      <c r="D3" s="46" t="s">
        <v>128</v>
      </c>
      <c r="E3" s="46" t="s">
        <v>2</v>
      </c>
      <c r="F3" s="46" t="s">
        <v>139</v>
      </c>
      <c r="G3" s="47" t="n">
        <v>46300</v>
      </c>
      <c r="H3" s="46" t="s">
        <v>140</v>
      </c>
      <c r="I3" s="47" t="n">
        <v>46323</v>
      </c>
      <c r="J3" s="46" t="s">
        <v>141</v>
      </c>
      <c r="K3" s="48" t="str">
        <f aca="false">IF(W3="","",HYPERLINK(W3,"Simbli"))</f>
        <v>Simbli</v>
      </c>
      <c r="L3" s="48" t="str">
        <f aca="false">IF(X3="","",HYPERLINK(X3,"Simbli"))</f>
        <v>Simbli</v>
      </c>
      <c r="M3" s="46" t="s">
        <v>142</v>
      </c>
      <c r="N3" s="46" t="s">
        <v>143</v>
      </c>
      <c r="O3" s="46"/>
      <c r="P3" s="46" t="str">
        <f aca="false">IF(OR(A3="",O3=""),"",O3+RegDays)</f>
        <v/>
      </c>
      <c r="Q3" s="46" t="str">
        <f aca="false">IF(A3="","",IF(SUMPRODUCT(MAX((Versions!$B$2:$B$501=A3)*(Versions!$M$2:$M$501="Yes")*ROW(Versions!$B$2:$B$501)))=0,"",INDEX(Versions!$A$1:$A$501,SUMPRODUCT(MAX((Versions!$B$2:$B$501=A3)*(Versions!$M$2:$M$501="Yes")*ROW(Versions!$B$2:$B$501))))))</f>
        <v>V-003</v>
      </c>
      <c r="R3" s="46" t="n">
        <f aca="false">IF(A3="","",COUNTIF(Comments!$B$2:$B$2001,A3))</f>
        <v>1</v>
      </c>
      <c r="S3" s="46" t="n">
        <f aca="false">IF(A3="","",COUNTIFS(Comments!$B$2:$B$2001,A3,Comments!$N$2:$N$2001,"Open"))</f>
        <v>1</v>
      </c>
      <c r="T3" s="46" t="n">
        <f aca="false">IF(A3="","",COUNTIFS('Deferred edits'!$C$2:$C$201,A3,'Deferred edits'!$G$2:$G$201,"Waiting"))</f>
        <v>0</v>
      </c>
      <c r="U3" s="46" t="str">
        <f aca="false">IF(A3="","",IF(AND(I3&lt;&gt;"",I3&lt;AsOfDate),"▲ Next date passed",IF(AND(I3&lt;&gt;"",I3&lt;=AsOfDate+7),"● Next date within 7 days",IF(AND(P3&lt;&gt;"",P3&lt;AsOfDate,N3&lt;&gt;"Complete"),"▲ Regulation past target",IF(S3&gt;0,"Open comments","")))))</f>
        <v>Open comments</v>
      </c>
      <c r="V3" s="46" t="s">
        <v>134</v>
      </c>
      <c r="W3" s="46" t="s">
        <v>144</v>
      </c>
      <c r="X3" s="46" t="s">
        <v>145</v>
      </c>
    </row>
    <row r="4" customFormat="false" ht="46.25" hidden="false" customHeight="false" outlineLevel="0" collapsed="false">
      <c r="A4" s="46" t="s">
        <v>70</v>
      </c>
      <c r="B4" s="46" t="s">
        <v>146</v>
      </c>
      <c r="C4" s="46" t="s">
        <v>138</v>
      </c>
      <c r="D4" s="46" t="s">
        <v>143</v>
      </c>
      <c r="E4" s="46" t="s">
        <v>147</v>
      </c>
      <c r="F4" s="46" t="s">
        <v>148</v>
      </c>
      <c r="G4" s="47" t="n">
        <v>46300</v>
      </c>
      <c r="H4" s="46" t="s">
        <v>149</v>
      </c>
      <c r="I4" s="47" t="n">
        <v>46323</v>
      </c>
      <c r="J4" s="46" t="s">
        <v>150</v>
      </c>
      <c r="K4" s="48" t="str">
        <f aca="false">IF(W4="","",HYPERLINK(W4,"Simbli"))</f>
        <v>Simbli</v>
      </c>
      <c r="L4" s="48" t="str">
        <f aca="false">IF(X4="","",HYPERLINK(X4,"Simbli"))</f>
        <v>Simbli</v>
      </c>
      <c r="M4" s="46" t="s">
        <v>151</v>
      </c>
      <c r="N4" s="46" t="s">
        <v>152</v>
      </c>
      <c r="O4" s="46"/>
      <c r="P4" s="46" t="str">
        <f aca="false">IF(OR(A4="",O4=""),"",O4+RegDays)</f>
        <v/>
      </c>
      <c r="Q4" s="46" t="str">
        <f aca="false">IF(A4="","",IF(SUMPRODUCT(MAX((Versions!$B$2:$B$501=A4)*(Versions!$M$2:$M$501="Yes")*ROW(Versions!$B$2:$B$501)))=0,"",INDEX(Versions!$A$1:$A$501,SUMPRODUCT(MAX((Versions!$B$2:$B$501=A4)*(Versions!$M$2:$M$501="Yes")*ROW(Versions!$B$2:$B$501))))))</f>
        <v>V-005</v>
      </c>
      <c r="R4" s="46" t="n">
        <f aca="false">IF(A4="","",COUNTIF(Comments!$B$2:$B$2001,A4))</f>
        <v>7</v>
      </c>
      <c r="S4" s="46" t="n">
        <f aca="false">IF(A4="","",COUNTIFS(Comments!$B$2:$B$2001,A4,Comments!$N$2:$N$2001,"Open"))</f>
        <v>0</v>
      </c>
      <c r="T4" s="46" t="n">
        <f aca="false">IF(A4="","",COUNTIFS('Deferred edits'!$C$2:$C$201,A4,'Deferred edits'!$G$2:$G$201,"Waiting"))</f>
        <v>0</v>
      </c>
      <c r="U4" s="46" t="str">
        <f aca="false">IF(A4="","",IF(AND(I4&lt;&gt;"",I4&lt;AsOfDate),"▲ Next date passed",IF(AND(I4&lt;&gt;"",I4&lt;=AsOfDate+7),"● Next date within 7 days",IF(AND(P4&lt;&gt;"",P4&lt;AsOfDate,N4&lt;&gt;"Complete"),"▲ Regulation past target",IF(S4&gt;0,"Open comments","")))))</f>
        <v/>
      </c>
      <c r="V4" s="46" t="s">
        <v>134</v>
      </c>
      <c r="W4" s="46" t="s">
        <v>153</v>
      </c>
      <c r="X4" s="46" t="s">
        <v>154</v>
      </c>
    </row>
    <row r="5" customFormat="false" ht="46.25" hidden="false" customHeight="false" outlineLevel="0" collapsed="false">
      <c r="A5" s="46" t="s">
        <v>155</v>
      </c>
      <c r="B5" s="46" t="s">
        <v>156</v>
      </c>
      <c r="C5" s="46" t="s">
        <v>138</v>
      </c>
      <c r="D5" s="46" t="s">
        <v>143</v>
      </c>
      <c r="E5" s="46" t="s">
        <v>157</v>
      </c>
      <c r="F5" s="46" t="s">
        <v>158</v>
      </c>
      <c r="G5" s="47" t="n">
        <v>46300</v>
      </c>
      <c r="H5" s="46" t="s">
        <v>159</v>
      </c>
      <c r="I5" s="47" t="n">
        <v>46314</v>
      </c>
      <c r="J5" s="46" t="s">
        <v>160</v>
      </c>
      <c r="K5" s="48" t="str">
        <f aca="false">IF(W5="","",HYPERLINK(W5,"Simbli"))</f>
        <v>Simbli</v>
      </c>
      <c r="L5" s="48" t="str">
        <f aca="false">IF(X5="","",HYPERLINK(X5,"Simbli"))</f>
        <v>Simbli</v>
      </c>
      <c r="M5" s="46" t="s">
        <v>142</v>
      </c>
      <c r="N5" s="46" t="s">
        <v>143</v>
      </c>
      <c r="O5" s="46"/>
      <c r="P5" s="46" t="str">
        <f aca="false">IF(OR(A5="",O5=""),"",O5+RegDays)</f>
        <v/>
      </c>
      <c r="Q5" s="46" t="str">
        <f aca="false">IF(A5="","",IF(SUMPRODUCT(MAX((Versions!$B$2:$B$501=A5)*(Versions!$M$2:$M$501="Yes")*ROW(Versions!$B$2:$B$501)))=0,"",INDEX(Versions!$A$1:$A$501,SUMPRODUCT(MAX((Versions!$B$2:$B$501=A5)*(Versions!$M$2:$M$501="Yes")*ROW(Versions!$B$2:$B$501))))))</f>
        <v>V-007</v>
      </c>
      <c r="R5" s="46" t="n">
        <f aca="false">IF(A5="","",COUNTIF(Comments!$B$2:$B$2001,A5))</f>
        <v>0</v>
      </c>
      <c r="S5" s="46" t="n">
        <f aca="false">IF(A5="","",COUNTIFS(Comments!$B$2:$B$2001,A5,Comments!$N$2:$N$2001,"Open"))</f>
        <v>0</v>
      </c>
      <c r="T5" s="46" t="n">
        <f aca="false">IF(A5="","",COUNTIFS('Deferred edits'!$C$2:$C$201,A5,'Deferred edits'!$G$2:$G$201,"Waiting"))</f>
        <v>0</v>
      </c>
      <c r="U5" s="46" t="str">
        <f aca="false">IF(A5="","",IF(AND(I5&lt;&gt;"",I5&lt;AsOfDate),"▲ Next date passed",IF(AND(I5&lt;&gt;"",I5&lt;=AsOfDate+7),"● Next date within 7 days",IF(AND(P5&lt;&gt;"",P5&lt;AsOfDate,N5&lt;&gt;"Complete"),"▲ Regulation past target",IF(S5&gt;0,"Open comments","")))))</f>
        <v>● Next date within 7 days</v>
      </c>
      <c r="V5" s="46" t="s">
        <v>134</v>
      </c>
      <c r="W5" s="46" t="s">
        <v>161</v>
      </c>
      <c r="X5" s="46" t="s">
        <v>162</v>
      </c>
    </row>
    <row r="6" customFormat="false" ht="46.25" hidden="false" customHeight="false" outlineLevel="0" collapsed="false">
      <c r="A6" s="46" t="s">
        <v>163</v>
      </c>
      <c r="B6" s="46" t="s">
        <v>164</v>
      </c>
      <c r="C6" s="46" t="s">
        <v>127</v>
      </c>
      <c r="D6" s="46" t="s">
        <v>165</v>
      </c>
      <c r="E6" s="46" t="s">
        <v>166</v>
      </c>
      <c r="F6" s="46" t="s">
        <v>167</v>
      </c>
      <c r="G6" s="47" t="n">
        <v>46300</v>
      </c>
      <c r="H6" s="46" t="s">
        <v>168</v>
      </c>
      <c r="I6" s="46"/>
      <c r="J6" s="46" t="s">
        <v>169</v>
      </c>
      <c r="K6" s="48" t="str">
        <f aca="false">IF(W6="","",HYPERLINK(W6,"Simbli"))</f>
        <v/>
      </c>
      <c r="L6" s="48" t="str">
        <f aca="false">IF(X6="","",HYPERLINK(X6,"Simbli"))</f>
        <v>Simbli</v>
      </c>
      <c r="M6" s="46" t="s">
        <v>170</v>
      </c>
      <c r="N6" s="46" t="s">
        <v>171</v>
      </c>
      <c r="O6" s="46"/>
      <c r="P6" s="46" t="str">
        <f aca="false">IF(OR(A6="",O6=""),"",O6+RegDays)</f>
        <v/>
      </c>
      <c r="Q6" s="46" t="str">
        <f aca="false">IF(A6="","",IF(SUMPRODUCT(MAX((Versions!$B$2:$B$501=A6)*(Versions!$M$2:$M$501="Yes")*ROW(Versions!$B$2:$B$501)))=0,"",INDEX(Versions!$A$1:$A$501,SUMPRODUCT(MAX((Versions!$B$2:$B$501=A6)*(Versions!$M$2:$M$501="Yes")*ROW(Versions!$B$2:$B$501))))))</f>
        <v>V-008</v>
      </c>
      <c r="R6" s="46" t="n">
        <f aca="false">IF(A6="","",COUNTIF(Comments!$B$2:$B$2001,A6))</f>
        <v>2</v>
      </c>
      <c r="S6" s="46" t="n">
        <f aca="false">IF(A6="","",COUNTIFS(Comments!$B$2:$B$2001,A6,Comments!$N$2:$N$2001,"Open"))</f>
        <v>0</v>
      </c>
      <c r="T6" s="46" t="n">
        <f aca="false">IF(A6="","",COUNTIFS('Deferred edits'!$C$2:$C$201,A6,'Deferred edits'!$G$2:$G$201,"Waiting"))</f>
        <v>0</v>
      </c>
      <c r="U6" s="46" t="str">
        <f aca="false">IF(A6="","",IF(AND(I6&lt;&gt;"",I6&lt;AsOfDate),"▲ Next date passed",IF(AND(I6&lt;&gt;"",I6&lt;=AsOfDate+7),"● Next date within 7 days",IF(AND(P6&lt;&gt;"",P6&lt;AsOfDate,N6&lt;&gt;"Complete"),"▲ Regulation past target",IF(S6&gt;0,"Open comments","")))))</f>
        <v/>
      </c>
      <c r="V6" s="46" t="s">
        <v>134</v>
      </c>
      <c r="W6" s="46"/>
      <c r="X6" s="46" t="s">
        <v>172</v>
      </c>
    </row>
    <row r="7" customFormat="false" ht="46.25" hidden="false" customHeight="false" outlineLevel="0" collapsed="false">
      <c r="A7" s="46" t="s">
        <v>173</v>
      </c>
      <c r="B7" s="46" t="s">
        <v>174</v>
      </c>
      <c r="C7" s="46" t="s">
        <v>138</v>
      </c>
      <c r="D7" s="46" t="s">
        <v>165</v>
      </c>
      <c r="E7" s="46" t="s">
        <v>166</v>
      </c>
      <c r="F7" s="46" t="s">
        <v>175</v>
      </c>
      <c r="G7" s="47" t="n">
        <v>46300</v>
      </c>
      <c r="H7" s="46" t="s">
        <v>176</v>
      </c>
      <c r="I7" s="46"/>
      <c r="J7" s="46" t="s">
        <v>177</v>
      </c>
      <c r="K7" s="48" t="str">
        <f aca="false">IF(W7="","",HYPERLINK(W7,"Simbli"))</f>
        <v>Simbli</v>
      </c>
      <c r="L7" s="48" t="str">
        <f aca="false">IF(X7="","",HYPERLINK(X7,"Simbli"))</f>
        <v>Simbli</v>
      </c>
      <c r="M7" s="46" t="s">
        <v>178</v>
      </c>
      <c r="N7" s="46" t="s">
        <v>143</v>
      </c>
      <c r="O7" s="46"/>
      <c r="P7" s="46" t="str">
        <f aca="false">IF(OR(A7="",O7=""),"",O7+RegDays)</f>
        <v/>
      </c>
      <c r="Q7" s="46" t="str">
        <f aca="false">IF(A7="","",IF(SUMPRODUCT(MAX((Versions!$B$2:$B$501=A7)*(Versions!$M$2:$M$501="Yes")*ROW(Versions!$B$2:$B$501)))=0,"",INDEX(Versions!$A$1:$A$501,SUMPRODUCT(MAX((Versions!$B$2:$B$501=A7)*(Versions!$M$2:$M$501="Yes")*ROW(Versions!$B$2:$B$501))))))</f>
        <v>V-010</v>
      </c>
      <c r="R7" s="46" t="n">
        <f aca="false">IF(A7="","",COUNTIF(Comments!$B$2:$B$2001,A7))</f>
        <v>0</v>
      </c>
      <c r="S7" s="46" t="n">
        <f aca="false">IF(A7="","",COUNTIFS(Comments!$B$2:$B$2001,A7,Comments!$N$2:$N$2001,"Open"))</f>
        <v>0</v>
      </c>
      <c r="T7" s="46" t="n">
        <f aca="false">IF(A7="","",COUNTIFS('Deferred edits'!$C$2:$C$201,A7,'Deferred edits'!$G$2:$G$201,"Waiting"))</f>
        <v>1</v>
      </c>
      <c r="U7" s="46" t="str">
        <f aca="false">IF(A7="","",IF(AND(I7&lt;&gt;"",I7&lt;AsOfDate),"▲ Next date passed",IF(AND(I7&lt;&gt;"",I7&lt;=AsOfDate+7),"● Next date within 7 days",IF(AND(P7&lt;&gt;"",P7&lt;AsOfDate,N7&lt;&gt;"Complete"),"▲ Regulation past target",IF(S7&gt;0,"Open comments","")))))</f>
        <v/>
      </c>
      <c r="V7" s="46" t="s">
        <v>134</v>
      </c>
      <c r="W7" s="46" t="s">
        <v>179</v>
      </c>
      <c r="X7" s="46" t="s">
        <v>180</v>
      </c>
    </row>
    <row r="8" customFormat="false" ht="46.25" hidden="false" customHeight="false" outlineLevel="0" collapsed="false">
      <c r="A8" s="46" t="s">
        <v>181</v>
      </c>
      <c r="B8" s="46" t="s">
        <v>182</v>
      </c>
      <c r="C8" s="46" t="s">
        <v>138</v>
      </c>
      <c r="D8" s="46" t="s">
        <v>143</v>
      </c>
      <c r="E8" s="46" t="s">
        <v>166</v>
      </c>
      <c r="F8" s="46" t="s">
        <v>183</v>
      </c>
      <c r="G8" s="47" t="n">
        <v>46289</v>
      </c>
      <c r="H8" s="46" t="s">
        <v>184</v>
      </c>
      <c r="I8" s="46"/>
      <c r="J8" s="46" t="s">
        <v>185</v>
      </c>
      <c r="K8" s="48" t="str">
        <f aca="false">IF(W8="","",HYPERLINK(W8,"Simbli"))</f>
        <v>Simbli</v>
      </c>
      <c r="L8" s="48" t="str">
        <f aca="false">IF(X8="","",HYPERLINK(X8,"Simbli"))</f>
        <v/>
      </c>
      <c r="M8" s="46" t="s">
        <v>186</v>
      </c>
      <c r="N8" s="46" t="s">
        <v>143</v>
      </c>
      <c r="O8" s="46"/>
      <c r="P8" s="46" t="str">
        <f aca="false">IF(OR(A8="",O8=""),"",O8+RegDays)</f>
        <v/>
      </c>
      <c r="Q8" s="46" t="str">
        <f aca="false">IF(A8="","",IF(SUMPRODUCT(MAX((Versions!$B$2:$B$501=A8)*(Versions!$M$2:$M$501="Yes")*ROW(Versions!$B$2:$B$501)))=0,"",INDEX(Versions!$A$1:$A$501,SUMPRODUCT(MAX((Versions!$B$2:$B$501=A8)*(Versions!$M$2:$M$501="Yes")*ROW(Versions!$B$2:$B$501))))))</f>
        <v/>
      </c>
      <c r="R8" s="46" t="n">
        <f aca="false">IF(A8="","",COUNTIF(Comments!$B$2:$B$2001,A8))</f>
        <v>0</v>
      </c>
      <c r="S8" s="46" t="n">
        <f aca="false">IF(A8="","",COUNTIFS(Comments!$B$2:$B$2001,A8,Comments!$N$2:$N$2001,"Open"))</f>
        <v>0</v>
      </c>
      <c r="T8" s="46" t="n">
        <f aca="false">IF(A8="","",COUNTIFS('Deferred edits'!$C$2:$C$201,A8,'Deferred edits'!$G$2:$G$201,"Waiting"))</f>
        <v>0</v>
      </c>
      <c r="U8" s="46" t="str">
        <f aca="false">IF(A8="","",IF(AND(I8&lt;&gt;"",I8&lt;AsOfDate),"▲ Next date passed",IF(AND(I8&lt;&gt;"",I8&lt;=AsOfDate+7),"● Next date within 7 days",IF(AND(P8&lt;&gt;"",P8&lt;AsOfDate,N8&lt;&gt;"Complete"),"▲ Regulation past target",IF(S8&gt;0,"Open comments","")))))</f>
        <v/>
      </c>
      <c r="V8" s="46" t="s">
        <v>187</v>
      </c>
      <c r="W8" s="46" t="s">
        <v>188</v>
      </c>
      <c r="X8" s="46"/>
    </row>
    <row r="9" customFormat="false" ht="46.25" hidden="false" customHeight="false" outlineLevel="0" collapsed="false">
      <c r="A9" s="46" t="s">
        <v>189</v>
      </c>
      <c r="B9" s="46" t="s">
        <v>190</v>
      </c>
      <c r="C9" s="46" t="s">
        <v>138</v>
      </c>
      <c r="D9" s="46" t="s">
        <v>143</v>
      </c>
      <c r="E9" s="46" t="s">
        <v>166</v>
      </c>
      <c r="F9" s="46" t="s">
        <v>183</v>
      </c>
      <c r="G9" s="47" t="n">
        <v>46289</v>
      </c>
      <c r="H9" s="46" t="s">
        <v>184</v>
      </c>
      <c r="I9" s="46"/>
      <c r="J9" s="46" t="s">
        <v>191</v>
      </c>
      <c r="K9" s="48" t="str">
        <f aca="false">IF(W9="","",HYPERLINK(W9,"Simbli"))</f>
        <v>Simbli</v>
      </c>
      <c r="L9" s="48" t="str">
        <f aca="false">IF(X9="","",HYPERLINK(X9,"Simbli"))</f>
        <v/>
      </c>
      <c r="M9" s="46" t="s">
        <v>192</v>
      </c>
      <c r="N9" s="46" t="s">
        <v>143</v>
      </c>
      <c r="O9" s="46"/>
      <c r="P9" s="46" t="str">
        <f aca="false">IF(OR(A9="",O9=""),"",O9+RegDays)</f>
        <v/>
      </c>
      <c r="Q9" s="46" t="str">
        <f aca="false">IF(A9="","",IF(SUMPRODUCT(MAX((Versions!$B$2:$B$501=A9)*(Versions!$M$2:$M$501="Yes")*ROW(Versions!$B$2:$B$501)))=0,"",INDEX(Versions!$A$1:$A$501,SUMPRODUCT(MAX((Versions!$B$2:$B$501=A9)*(Versions!$M$2:$M$501="Yes")*ROW(Versions!$B$2:$B$501))))))</f>
        <v/>
      </c>
      <c r="R9" s="46" t="n">
        <f aca="false">IF(A9="","",COUNTIF(Comments!$B$2:$B$2001,A9))</f>
        <v>0</v>
      </c>
      <c r="S9" s="46" t="n">
        <f aca="false">IF(A9="","",COUNTIFS(Comments!$B$2:$B$2001,A9,Comments!$N$2:$N$2001,"Open"))</f>
        <v>0</v>
      </c>
      <c r="T9" s="46" t="n">
        <f aca="false">IF(A9="","",COUNTIFS('Deferred edits'!$C$2:$C$201,A9,'Deferred edits'!$G$2:$G$201,"Waiting"))</f>
        <v>0</v>
      </c>
      <c r="U9" s="46" t="str">
        <f aca="false">IF(A9="","",IF(AND(I9&lt;&gt;"",I9&lt;AsOfDate),"▲ Next date passed",IF(AND(I9&lt;&gt;"",I9&lt;=AsOfDate+7),"● Next date within 7 days",IF(AND(P9&lt;&gt;"",P9&lt;AsOfDate,N9&lt;&gt;"Complete"),"▲ Regulation past target",IF(S9&gt;0,"Open comments","")))))</f>
        <v/>
      </c>
      <c r="V9" s="46" t="s">
        <v>187</v>
      </c>
      <c r="W9" s="46" t="s">
        <v>193</v>
      </c>
      <c r="X9" s="46"/>
    </row>
    <row r="10" customFormat="false" ht="23.85" hidden="false" customHeight="false" outlineLevel="0" collapsed="false">
      <c r="A10" s="46" t="s">
        <v>194</v>
      </c>
      <c r="B10" s="46" t="s">
        <v>195</v>
      </c>
      <c r="C10" s="46" t="s">
        <v>127</v>
      </c>
      <c r="D10" s="46" t="s">
        <v>143</v>
      </c>
      <c r="E10" s="46" t="s">
        <v>196</v>
      </c>
      <c r="F10" s="46" t="s">
        <v>197</v>
      </c>
      <c r="G10" s="47" t="n">
        <v>46260</v>
      </c>
      <c r="H10" s="46" t="s">
        <v>198</v>
      </c>
      <c r="I10" s="46"/>
      <c r="J10" s="46" t="s">
        <v>199</v>
      </c>
      <c r="K10" s="48" t="str">
        <f aca="false">IF(W10="","",HYPERLINK(W10,"Simbli"))</f>
        <v/>
      </c>
      <c r="L10" s="48" t="str">
        <f aca="false">IF(X10="","",HYPERLINK(X10,"Simbli"))</f>
        <v/>
      </c>
      <c r="M10" s="46" t="s">
        <v>200</v>
      </c>
      <c r="N10" s="46" t="s">
        <v>201</v>
      </c>
      <c r="O10" s="46"/>
      <c r="P10" s="46" t="str">
        <f aca="false">IF(OR(A10="",O10=""),"",O10+RegDays)</f>
        <v/>
      </c>
      <c r="Q10" s="46" t="str">
        <f aca="false">IF(A10="","",IF(SUMPRODUCT(MAX((Versions!$B$2:$B$501=A10)*(Versions!$M$2:$M$501="Yes")*ROW(Versions!$B$2:$B$501)))=0,"",INDEX(Versions!$A$1:$A$501,SUMPRODUCT(MAX((Versions!$B$2:$B$501=A10)*(Versions!$M$2:$M$501="Yes")*ROW(Versions!$B$2:$B$501))))))</f>
        <v/>
      </c>
      <c r="R10" s="46" t="n">
        <f aca="false">IF(A10="","",COUNTIF(Comments!$B$2:$B$2001,A10))</f>
        <v>0</v>
      </c>
      <c r="S10" s="46" t="n">
        <f aca="false">IF(A10="","",COUNTIFS(Comments!$B$2:$B$2001,A10,Comments!$N$2:$N$2001,"Open"))</f>
        <v>0</v>
      </c>
      <c r="T10" s="46" t="n">
        <f aca="false">IF(A10="","",COUNTIFS('Deferred edits'!$C$2:$C$201,A10,'Deferred edits'!$G$2:$G$201,"Waiting"))</f>
        <v>0</v>
      </c>
      <c r="U10" s="46" t="str">
        <f aca="false">IF(A10="","",IF(AND(I10&lt;&gt;"",I10&lt;AsOfDate),"▲ Next date passed",IF(AND(I10&lt;&gt;"",I10&lt;=AsOfDate+7),"● Next date within 7 days",IF(AND(P10&lt;&gt;"",P10&lt;AsOfDate,N10&lt;&gt;"Complete"),"▲ Regulation past target",IF(S10&gt;0,"Open comments","")))))</f>
        <v/>
      </c>
      <c r="V10" s="46" t="s">
        <v>202</v>
      </c>
      <c r="W10" s="46"/>
      <c r="X10" s="46"/>
    </row>
    <row r="11" customFormat="false" ht="46.25" hidden="false" customHeight="false" outlineLevel="0" collapsed="false">
      <c r="A11" s="46" t="s">
        <v>203</v>
      </c>
      <c r="B11" s="46" t="s">
        <v>204</v>
      </c>
      <c r="C11" s="46" t="s">
        <v>18</v>
      </c>
      <c r="D11" s="46" t="s">
        <v>205</v>
      </c>
      <c r="E11" s="46" t="s">
        <v>206</v>
      </c>
      <c r="F11" s="46" t="s">
        <v>207</v>
      </c>
      <c r="G11" s="47" t="n">
        <v>46260</v>
      </c>
      <c r="H11" s="46" t="s">
        <v>208</v>
      </c>
      <c r="I11" s="46"/>
      <c r="J11" s="46" t="s">
        <v>209</v>
      </c>
      <c r="K11" s="48" t="str">
        <f aca="false">IF(W11="","",HYPERLINK(W11,"Simbli"))</f>
        <v>Simbli</v>
      </c>
      <c r="L11" s="48" t="str">
        <f aca="false">IF(X11="","",HYPERLINK(X11,"Simbli"))</f>
        <v/>
      </c>
      <c r="M11" s="46" t="s">
        <v>210</v>
      </c>
      <c r="N11" s="46" t="s">
        <v>143</v>
      </c>
      <c r="O11" s="46"/>
      <c r="P11" s="46" t="str">
        <f aca="false">IF(OR(A11="",O11=""),"",O11+RegDays)</f>
        <v/>
      </c>
      <c r="Q11" s="46" t="str">
        <f aca="false">IF(A11="","",IF(SUMPRODUCT(MAX((Versions!$B$2:$B$501=A11)*(Versions!$M$2:$M$501="Yes")*ROW(Versions!$B$2:$B$501)))=0,"",INDEX(Versions!$A$1:$A$501,SUMPRODUCT(MAX((Versions!$B$2:$B$501=A11)*(Versions!$M$2:$M$501="Yes")*ROW(Versions!$B$2:$B$501))))))</f>
        <v/>
      </c>
      <c r="R11" s="46" t="n">
        <f aca="false">IF(A11="","",COUNTIF(Comments!$B$2:$B$2001,A11))</f>
        <v>1</v>
      </c>
      <c r="S11" s="46" t="n">
        <f aca="false">IF(A11="","",COUNTIFS(Comments!$B$2:$B$2001,A11,Comments!$N$2:$N$2001,"Open"))</f>
        <v>0</v>
      </c>
      <c r="T11" s="46" t="n">
        <f aca="false">IF(A11="","",COUNTIFS('Deferred edits'!$C$2:$C$201,A11,'Deferred edits'!$G$2:$G$201,"Waiting"))</f>
        <v>0</v>
      </c>
      <c r="U11" s="46" t="str">
        <f aca="false">IF(A11="","",IF(AND(I11&lt;&gt;"",I11&lt;AsOfDate),"▲ Next date passed",IF(AND(I11&lt;&gt;"",I11&lt;=AsOfDate+7),"● Next date within 7 days",IF(AND(P11&lt;&gt;"",P11&lt;AsOfDate,N11&lt;&gt;"Complete"),"▲ Regulation past target",IF(S11&gt;0,"Open comments","")))))</f>
        <v/>
      </c>
      <c r="V11" s="46" t="s">
        <v>202</v>
      </c>
      <c r="W11" s="46" t="s">
        <v>211</v>
      </c>
      <c r="X11" s="46"/>
    </row>
    <row r="12" customFormat="false" ht="46.25" hidden="false" customHeight="false" outlineLevel="0" collapsed="false">
      <c r="A12" s="46" t="s">
        <v>212</v>
      </c>
      <c r="B12" s="46" t="s">
        <v>213</v>
      </c>
      <c r="C12" s="46" t="s">
        <v>18</v>
      </c>
      <c r="D12" s="46" t="s">
        <v>143</v>
      </c>
      <c r="E12" s="46" t="s">
        <v>206</v>
      </c>
      <c r="F12" s="46" t="s">
        <v>214</v>
      </c>
      <c r="G12" s="47" t="n">
        <v>46296</v>
      </c>
      <c r="H12" s="46" t="s">
        <v>215</v>
      </c>
      <c r="I12" s="46"/>
      <c r="J12" s="46" t="s">
        <v>216</v>
      </c>
      <c r="K12" s="48" t="str">
        <f aca="false">IF(W12="","",HYPERLINK(W12,"Simbli"))</f>
        <v>Simbli</v>
      </c>
      <c r="L12" s="48" t="str">
        <f aca="false">IF(X12="","",HYPERLINK(X12,"Simbli"))</f>
        <v/>
      </c>
      <c r="M12" s="46" t="s">
        <v>217</v>
      </c>
      <c r="N12" s="46" t="s">
        <v>196</v>
      </c>
      <c r="O12" s="46"/>
      <c r="P12" s="46" t="str">
        <f aca="false">IF(OR(A12="",O12=""),"",O12+RegDays)</f>
        <v/>
      </c>
      <c r="Q12" s="46" t="str">
        <f aca="false">IF(A12="","",IF(SUMPRODUCT(MAX((Versions!$B$2:$B$501=A12)*(Versions!$M$2:$M$501="Yes")*ROW(Versions!$B$2:$B$501)))=0,"",INDEX(Versions!$A$1:$A$501,SUMPRODUCT(MAX((Versions!$B$2:$B$501=A12)*(Versions!$M$2:$M$501="Yes")*ROW(Versions!$B$2:$B$501))))))</f>
        <v/>
      </c>
      <c r="R12" s="46" t="n">
        <f aca="false">IF(A12="","",COUNTIF(Comments!$B$2:$B$2001,A12))</f>
        <v>0</v>
      </c>
      <c r="S12" s="46" t="n">
        <f aca="false">IF(A12="","",COUNTIFS(Comments!$B$2:$B$2001,A12,Comments!$N$2:$N$2001,"Open"))</f>
        <v>0</v>
      </c>
      <c r="T12" s="46" t="n">
        <f aca="false">IF(A12="","",COUNTIFS('Deferred edits'!$C$2:$C$201,A12,'Deferred edits'!$G$2:$G$201,"Waiting"))</f>
        <v>0</v>
      </c>
      <c r="U12" s="46" t="str">
        <f aca="false">IF(A12="","",IF(AND(I12&lt;&gt;"",I12&lt;AsOfDate),"▲ Next date passed",IF(AND(I12&lt;&gt;"",I12&lt;=AsOfDate+7),"● Next date within 7 days",IF(AND(P12&lt;&gt;"",P12&lt;AsOfDate,N12&lt;&gt;"Complete"),"▲ Regulation past target",IF(S12&gt;0,"Open comments","")))))</f>
        <v/>
      </c>
      <c r="V12" s="46" t="s">
        <v>218</v>
      </c>
      <c r="W12" s="46" t="s">
        <v>219</v>
      </c>
      <c r="X12" s="46"/>
    </row>
    <row r="13" customFormat="false" ht="15" hidden="false" customHeight="false" outlineLevel="0" collapsed="false">
      <c r="A13" s="46"/>
      <c r="B13" s="46"/>
      <c r="C13" s="46"/>
      <c r="D13" s="46"/>
      <c r="E13" s="46"/>
      <c r="F13" s="46"/>
      <c r="G13" s="46"/>
      <c r="H13" s="46"/>
      <c r="I13" s="46"/>
      <c r="J13" s="46"/>
      <c r="K13" s="48" t="str">
        <f aca="false">IF(W13="","",HYPERLINK(W13,"Simbli"))</f>
        <v/>
      </c>
      <c r="L13" s="48" t="str">
        <f aca="false">IF(X13="","",HYPERLINK(X13,"Simbli"))</f>
        <v/>
      </c>
      <c r="M13" s="46"/>
      <c r="N13" s="46"/>
      <c r="O13" s="46"/>
      <c r="P13" s="46" t="str">
        <f aca="false">IF(OR(A13="",O13=""),"",O13+RegDays)</f>
        <v/>
      </c>
      <c r="Q13" s="46" t="str">
        <f aca="false">IF(A13="","",IF(SUMPRODUCT(MAX((Versions!$B$2:$B$501=A13)*(Versions!$M$2:$M$501="Yes")*ROW(Versions!$B$2:$B$501)))=0,"",INDEX(Versions!$A$1:$A$501,SUMPRODUCT(MAX((Versions!$B$2:$B$501=A13)*(Versions!$M$2:$M$501="Yes")*ROW(Versions!$B$2:$B$501))))))</f>
        <v/>
      </c>
      <c r="R13" s="46" t="str">
        <f aca="false">IF(A13="","",COUNTIF(Comments!$B$2:$B$2001,A13))</f>
        <v/>
      </c>
      <c r="S13" s="46" t="str">
        <f aca="false">IF(A13="","",COUNTIFS(Comments!$B$2:$B$2001,A13,Comments!$N$2:$N$2001,"Open"))</f>
        <v/>
      </c>
      <c r="T13" s="46" t="str">
        <f aca="false">IF(A13="","",COUNTIFS('Deferred edits'!$C$2:$C$201,A13,'Deferred edits'!$G$2:$G$201,"Waiting"))</f>
        <v/>
      </c>
      <c r="U13" s="46" t="str">
        <f aca="false">IF(A13="","",IF(AND(I13&lt;&gt;"",I13&lt;AsOfDate),"▲ Next date passed",IF(AND(I13&lt;&gt;"",I13&lt;=AsOfDate+7),"● Next date within 7 days",IF(AND(P13&lt;&gt;"",P13&lt;AsOfDate,N13&lt;&gt;"Complete"),"▲ Regulation past target",IF(S13&gt;0,"Open comments","")))))</f>
        <v/>
      </c>
      <c r="V13" s="46"/>
      <c r="W13" s="46"/>
      <c r="X13" s="46"/>
    </row>
    <row r="14" customFormat="false" ht="15" hidden="false" customHeight="false" outlineLevel="0" collapsed="false">
      <c r="A14" s="46"/>
      <c r="B14" s="46"/>
      <c r="C14" s="46"/>
      <c r="D14" s="46"/>
      <c r="E14" s="46"/>
      <c r="F14" s="46"/>
      <c r="G14" s="46"/>
      <c r="H14" s="46"/>
      <c r="I14" s="46"/>
      <c r="J14" s="46"/>
      <c r="K14" s="48" t="str">
        <f aca="false">IF(W14="","",HYPERLINK(W14,"Simbli"))</f>
        <v/>
      </c>
      <c r="L14" s="48" t="str">
        <f aca="false">IF(X14="","",HYPERLINK(X14,"Simbli"))</f>
        <v/>
      </c>
      <c r="M14" s="46"/>
      <c r="N14" s="46"/>
      <c r="O14" s="46"/>
      <c r="P14" s="46" t="str">
        <f aca="false">IF(OR(A14="",O14=""),"",O14+RegDays)</f>
        <v/>
      </c>
      <c r="Q14" s="46" t="str">
        <f aca="false">IF(A14="","",IF(SUMPRODUCT(MAX((Versions!$B$2:$B$501=A14)*(Versions!$M$2:$M$501="Yes")*ROW(Versions!$B$2:$B$501)))=0,"",INDEX(Versions!$A$1:$A$501,SUMPRODUCT(MAX((Versions!$B$2:$B$501=A14)*(Versions!$M$2:$M$501="Yes")*ROW(Versions!$B$2:$B$501))))))</f>
        <v/>
      </c>
      <c r="R14" s="46" t="str">
        <f aca="false">IF(A14="","",COUNTIF(Comments!$B$2:$B$2001,A14))</f>
        <v/>
      </c>
      <c r="S14" s="46" t="str">
        <f aca="false">IF(A14="","",COUNTIFS(Comments!$B$2:$B$2001,A14,Comments!$N$2:$N$2001,"Open"))</f>
        <v/>
      </c>
      <c r="T14" s="46" t="str">
        <f aca="false">IF(A14="","",COUNTIFS('Deferred edits'!$C$2:$C$201,A14,'Deferred edits'!$G$2:$G$201,"Waiting"))</f>
        <v/>
      </c>
      <c r="U14" s="46" t="str">
        <f aca="false">IF(A14="","",IF(AND(I14&lt;&gt;"",I14&lt;AsOfDate),"▲ Next date passed",IF(AND(I14&lt;&gt;"",I14&lt;=AsOfDate+7),"● Next date within 7 days",IF(AND(P14&lt;&gt;"",P14&lt;AsOfDate,N14&lt;&gt;"Complete"),"▲ Regulation past target",IF(S14&gt;0,"Open comments","")))))</f>
        <v/>
      </c>
      <c r="V14" s="46"/>
      <c r="W14" s="46"/>
      <c r="X14" s="46"/>
    </row>
    <row r="15" customFormat="false" ht="15" hidden="false" customHeight="false" outlineLevel="0" collapsed="false">
      <c r="A15" s="46"/>
      <c r="B15" s="46"/>
      <c r="C15" s="46"/>
      <c r="D15" s="46"/>
      <c r="E15" s="46"/>
      <c r="F15" s="46"/>
      <c r="G15" s="46"/>
      <c r="H15" s="46"/>
      <c r="I15" s="46"/>
      <c r="J15" s="46"/>
      <c r="K15" s="48" t="str">
        <f aca="false">IF(W15="","",HYPERLINK(W15,"Simbli"))</f>
        <v/>
      </c>
      <c r="L15" s="48" t="str">
        <f aca="false">IF(X15="","",HYPERLINK(X15,"Simbli"))</f>
        <v/>
      </c>
      <c r="M15" s="46"/>
      <c r="N15" s="46"/>
      <c r="O15" s="46"/>
      <c r="P15" s="46" t="str">
        <f aca="false">IF(OR(A15="",O15=""),"",O15+RegDays)</f>
        <v/>
      </c>
      <c r="Q15" s="46" t="str">
        <f aca="false">IF(A15="","",IF(SUMPRODUCT(MAX((Versions!$B$2:$B$501=A15)*(Versions!$M$2:$M$501="Yes")*ROW(Versions!$B$2:$B$501)))=0,"",INDEX(Versions!$A$1:$A$501,SUMPRODUCT(MAX((Versions!$B$2:$B$501=A15)*(Versions!$M$2:$M$501="Yes")*ROW(Versions!$B$2:$B$501))))))</f>
        <v/>
      </c>
      <c r="R15" s="46" t="str">
        <f aca="false">IF(A15="","",COUNTIF(Comments!$B$2:$B$2001,A15))</f>
        <v/>
      </c>
      <c r="S15" s="46" t="str">
        <f aca="false">IF(A15="","",COUNTIFS(Comments!$B$2:$B$2001,A15,Comments!$N$2:$N$2001,"Open"))</f>
        <v/>
      </c>
      <c r="T15" s="46" t="str">
        <f aca="false">IF(A15="","",COUNTIFS('Deferred edits'!$C$2:$C$201,A15,'Deferred edits'!$G$2:$G$201,"Waiting"))</f>
        <v/>
      </c>
      <c r="U15" s="46" t="str">
        <f aca="false">IF(A15="","",IF(AND(I15&lt;&gt;"",I15&lt;AsOfDate),"▲ Next date passed",IF(AND(I15&lt;&gt;"",I15&lt;=AsOfDate+7),"● Next date within 7 days",IF(AND(P15&lt;&gt;"",P15&lt;AsOfDate,N15&lt;&gt;"Complete"),"▲ Regulation past target",IF(S15&gt;0,"Open comments","")))))</f>
        <v/>
      </c>
      <c r="V15" s="46"/>
      <c r="W15" s="46"/>
      <c r="X15" s="46"/>
    </row>
    <row r="16" customFormat="false" ht="15" hidden="false" customHeight="false" outlineLevel="0" collapsed="false">
      <c r="A16" s="46"/>
      <c r="B16" s="46"/>
      <c r="C16" s="46"/>
      <c r="D16" s="46"/>
      <c r="E16" s="46"/>
      <c r="F16" s="46"/>
      <c r="G16" s="46"/>
      <c r="H16" s="46"/>
      <c r="I16" s="46"/>
      <c r="J16" s="46"/>
      <c r="K16" s="48" t="str">
        <f aca="false">IF(W16="","",HYPERLINK(W16,"Simbli"))</f>
        <v/>
      </c>
      <c r="L16" s="48" t="str">
        <f aca="false">IF(X16="","",HYPERLINK(X16,"Simbli"))</f>
        <v/>
      </c>
      <c r="M16" s="46"/>
      <c r="N16" s="46"/>
      <c r="O16" s="46"/>
      <c r="P16" s="46" t="str">
        <f aca="false">IF(OR(A16="",O16=""),"",O16+RegDays)</f>
        <v/>
      </c>
      <c r="Q16" s="46" t="str">
        <f aca="false">IF(A16="","",IF(SUMPRODUCT(MAX((Versions!$B$2:$B$501=A16)*(Versions!$M$2:$M$501="Yes")*ROW(Versions!$B$2:$B$501)))=0,"",INDEX(Versions!$A$1:$A$501,SUMPRODUCT(MAX((Versions!$B$2:$B$501=A16)*(Versions!$M$2:$M$501="Yes")*ROW(Versions!$B$2:$B$501))))))</f>
        <v/>
      </c>
      <c r="R16" s="46" t="str">
        <f aca="false">IF(A16="","",COUNTIF(Comments!$B$2:$B$2001,A16))</f>
        <v/>
      </c>
      <c r="S16" s="46" t="str">
        <f aca="false">IF(A16="","",COUNTIFS(Comments!$B$2:$B$2001,A16,Comments!$N$2:$N$2001,"Open"))</f>
        <v/>
      </c>
      <c r="T16" s="46" t="str">
        <f aca="false">IF(A16="","",COUNTIFS('Deferred edits'!$C$2:$C$201,A16,'Deferred edits'!$G$2:$G$201,"Waiting"))</f>
        <v/>
      </c>
      <c r="U16" s="46" t="str">
        <f aca="false">IF(A16="","",IF(AND(I16&lt;&gt;"",I16&lt;AsOfDate),"▲ Next date passed",IF(AND(I16&lt;&gt;"",I16&lt;=AsOfDate+7),"● Next date within 7 days",IF(AND(P16&lt;&gt;"",P16&lt;AsOfDate,N16&lt;&gt;"Complete"),"▲ Regulation past target",IF(S16&gt;0,"Open comments","")))))</f>
        <v/>
      </c>
      <c r="V16" s="46"/>
      <c r="W16" s="46"/>
      <c r="X16" s="46"/>
    </row>
    <row r="17" customFormat="false" ht="15" hidden="false" customHeight="false" outlineLevel="0" collapsed="false">
      <c r="A17" s="46"/>
      <c r="B17" s="46"/>
      <c r="C17" s="46"/>
      <c r="D17" s="46"/>
      <c r="E17" s="46"/>
      <c r="F17" s="46"/>
      <c r="G17" s="46"/>
      <c r="H17" s="46"/>
      <c r="I17" s="46"/>
      <c r="J17" s="46"/>
      <c r="K17" s="48" t="str">
        <f aca="false">IF(W17="","",HYPERLINK(W17,"Simbli"))</f>
        <v/>
      </c>
      <c r="L17" s="48" t="str">
        <f aca="false">IF(X17="","",HYPERLINK(X17,"Simbli"))</f>
        <v/>
      </c>
      <c r="M17" s="46"/>
      <c r="N17" s="46"/>
      <c r="O17" s="46"/>
      <c r="P17" s="46" t="str">
        <f aca="false">IF(OR(A17="",O17=""),"",O17+RegDays)</f>
        <v/>
      </c>
      <c r="Q17" s="46" t="str">
        <f aca="false">IF(A17="","",IF(SUMPRODUCT(MAX((Versions!$B$2:$B$501=A17)*(Versions!$M$2:$M$501="Yes")*ROW(Versions!$B$2:$B$501)))=0,"",INDEX(Versions!$A$1:$A$501,SUMPRODUCT(MAX((Versions!$B$2:$B$501=A17)*(Versions!$M$2:$M$501="Yes")*ROW(Versions!$B$2:$B$501))))))</f>
        <v/>
      </c>
      <c r="R17" s="46" t="str">
        <f aca="false">IF(A17="","",COUNTIF(Comments!$B$2:$B$2001,A17))</f>
        <v/>
      </c>
      <c r="S17" s="46" t="str">
        <f aca="false">IF(A17="","",COUNTIFS(Comments!$B$2:$B$2001,A17,Comments!$N$2:$N$2001,"Open"))</f>
        <v/>
      </c>
      <c r="T17" s="46" t="str">
        <f aca="false">IF(A17="","",COUNTIFS('Deferred edits'!$C$2:$C$201,A17,'Deferred edits'!$G$2:$G$201,"Waiting"))</f>
        <v/>
      </c>
      <c r="U17" s="46" t="str">
        <f aca="false">IF(A17="","",IF(AND(I17&lt;&gt;"",I17&lt;AsOfDate),"▲ Next date passed",IF(AND(I17&lt;&gt;"",I17&lt;=AsOfDate+7),"● Next date within 7 days",IF(AND(P17&lt;&gt;"",P17&lt;AsOfDate,N17&lt;&gt;"Complete"),"▲ Regulation past target",IF(S17&gt;0,"Open comments","")))))</f>
        <v/>
      </c>
      <c r="V17" s="46"/>
      <c r="W17" s="46"/>
      <c r="X17" s="46"/>
    </row>
    <row r="18" customFormat="false" ht="15" hidden="false" customHeight="false" outlineLevel="0" collapsed="false">
      <c r="A18" s="46"/>
      <c r="B18" s="46"/>
      <c r="C18" s="46"/>
      <c r="D18" s="46"/>
      <c r="E18" s="46"/>
      <c r="F18" s="46"/>
      <c r="G18" s="46"/>
      <c r="H18" s="46"/>
      <c r="I18" s="46"/>
      <c r="J18" s="46"/>
      <c r="K18" s="48" t="str">
        <f aca="false">IF(W18="","",HYPERLINK(W18,"Simbli"))</f>
        <v/>
      </c>
      <c r="L18" s="48" t="str">
        <f aca="false">IF(X18="","",HYPERLINK(X18,"Simbli"))</f>
        <v/>
      </c>
      <c r="M18" s="46"/>
      <c r="N18" s="46"/>
      <c r="O18" s="46"/>
      <c r="P18" s="46" t="str">
        <f aca="false">IF(OR(A18="",O18=""),"",O18+RegDays)</f>
        <v/>
      </c>
      <c r="Q18" s="46" t="str">
        <f aca="false">IF(A18="","",IF(SUMPRODUCT(MAX((Versions!$B$2:$B$501=A18)*(Versions!$M$2:$M$501="Yes")*ROW(Versions!$B$2:$B$501)))=0,"",INDEX(Versions!$A$1:$A$501,SUMPRODUCT(MAX((Versions!$B$2:$B$501=A18)*(Versions!$M$2:$M$501="Yes")*ROW(Versions!$B$2:$B$501))))))</f>
        <v/>
      </c>
      <c r="R18" s="46" t="str">
        <f aca="false">IF(A18="","",COUNTIF(Comments!$B$2:$B$2001,A18))</f>
        <v/>
      </c>
      <c r="S18" s="46" t="str">
        <f aca="false">IF(A18="","",COUNTIFS(Comments!$B$2:$B$2001,A18,Comments!$N$2:$N$2001,"Open"))</f>
        <v/>
      </c>
      <c r="T18" s="46" t="str">
        <f aca="false">IF(A18="","",COUNTIFS('Deferred edits'!$C$2:$C$201,A18,'Deferred edits'!$G$2:$G$201,"Waiting"))</f>
        <v/>
      </c>
      <c r="U18" s="46" t="str">
        <f aca="false">IF(A18="","",IF(AND(I18&lt;&gt;"",I18&lt;AsOfDate),"▲ Next date passed",IF(AND(I18&lt;&gt;"",I18&lt;=AsOfDate+7),"● Next date within 7 days",IF(AND(P18&lt;&gt;"",P18&lt;AsOfDate,N18&lt;&gt;"Complete"),"▲ Regulation past target",IF(S18&gt;0,"Open comments","")))))</f>
        <v/>
      </c>
      <c r="V18" s="46"/>
      <c r="W18" s="46"/>
      <c r="X18" s="46"/>
    </row>
    <row r="19" customFormat="false" ht="15" hidden="false" customHeight="false" outlineLevel="0" collapsed="false">
      <c r="A19" s="46"/>
      <c r="B19" s="46"/>
      <c r="C19" s="46"/>
      <c r="D19" s="46"/>
      <c r="E19" s="46"/>
      <c r="F19" s="46"/>
      <c r="G19" s="46"/>
      <c r="H19" s="46"/>
      <c r="I19" s="46"/>
      <c r="J19" s="46"/>
      <c r="K19" s="48" t="str">
        <f aca="false">IF(W19="","",HYPERLINK(W19,"Simbli"))</f>
        <v/>
      </c>
      <c r="L19" s="48" t="str">
        <f aca="false">IF(X19="","",HYPERLINK(X19,"Simbli"))</f>
        <v/>
      </c>
      <c r="M19" s="46"/>
      <c r="N19" s="46"/>
      <c r="O19" s="46"/>
      <c r="P19" s="46" t="str">
        <f aca="false">IF(OR(A19="",O19=""),"",O19+RegDays)</f>
        <v/>
      </c>
      <c r="Q19" s="46" t="str">
        <f aca="false">IF(A19="","",IF(SUMPRODUCT(MAX((Versions!$B$2:$B$501=A19)*(Versions!$M$2:$M$501="Yes")*ROW(Versions!$B$2:$B$501)))=0,"",INDEX(Versions!$A$1:$A$501,SUMPRODUCT(MAX((Versions!$B$2:$B$501=A19)*(Versions!$M$2:$M$501="Yes")*ROW(Versions!$B$2:$B$501))))))</f>
        <v/>
      </c>
      <c r="R19" s="46" t="str">
        <f aca="false">IF(A19="","",COUNTIF(Comments!$B$2:$B$2001,A19))</f>
        <v/>
      </c>
      <c r="S19" s="46" t="str">
        <f aca="false">IF(A19="","",COUNTIFS(Comments!$B$2:$B$2001,A19,Comments!$N$2:$N$2001,"Open"))</f>
        <v/>
      </c>
      <c r="T19" s="46" t="str">
        <f aca="false">IF(A19="","",COUNTIFS('Deferred edits'!$C$2:$C$201,A19,'Deferred edits'!$G$2:$G$201,"Waiting"))</f>
        <v/>
      </c>
      <c r="U19" s="46" t="str">
        <f aca="false">IF(A19="","",IF(AND(I19&lt;&gt;"",I19&lt;AsOfDate),"▲ Next date passed",IF(AND(I19&lt;&gt;"",I19&lt;=AsOfDate+7),"● Next date within 7 days",IF(AND(P19&lt;&gt;"",P19&lt;AsOfDate,N19&lt;&gt;"Complete"),"▲ Regulation past target",IF(S19&gt;0,"Open comments","")))))</f>
        <v/>
      </c>
      <c r="V19" s="46"/>
      <c r="W19" s="46"/>
      <c r="X19" s="46"/>
    </row>
    <row r="20" customFormat="false" ht="15" hidden="false" customHeight="false" outlineLevel="0" collapsed="false">
      <c r="A20" s="46"/>
      <c r="B20" s="46"/>
      <c r="C20" s="46"/>
      <c r="D20" s="46"/>
      <c r="E20" s="46"/>
      <c r="F20" s="46"/>
      <c r="G20" s="46"/>
      <c r="H20" s="46"/>
      <c r="I20" s="46"/>
      <c r="J20" s="46"/>
      <c r="K20" s="48" t="str">
        <f aca="false">IF(W20="","",HYPERLINK(W20,"Simbli"))</f>
        <v/>
      </c>
      <c r="L20" s="48" t="str">
        <f aca="false">IF(X20="","",HYPERLINK(X20,"Simbli"))</f>
        <v/>
      </c>
      <c r="M20" s="46"/>
      <c r="N20" s="46"/>
      <c r="O20" s="46"/>
      <c r="P20" s="46" t="str">
        <f aca="false">IF(OR(A20="",O20=""),"",O20+RegDays)</f>
        <v/>
      </c>
      <c r="Q20" s="46" t="str">
        <f aca="false">IF(A20="","",IF(SUMPRODUCT(MAX((Versions!$B$2:$B$501=A20)*(Versions!$M$2:$M$501="Yes")*ROW(Versions!$B$2:$B$501)))=0,"",INDEX(Versions!$A$1:$A$501,SUMPRODUCT(MAX((Versions!$B$2:$B$501=A20)*(Versions!$M$2:$M$501="Yes")*ROW(Versions!$B$2:$B$501))))))</f>
        <v/>
      </c>
      <c r="R20" s="46" t="str">
        <f aca="false">IF(A20="","",COUNTIF(Comments!$B$2:$B$2001,A20))</f>
        <v/>
      </c>
      <c r="S20" s="46" t="str">
        <f aca="false">IF(A20="","",COUNTIFS(Comments!$B$2:$B$2001,A20,Comments!$N$2:$N$2001,"Open"))</f>
        <v/>
      </c>
      <c r="T20" s="46" t="str">
        <f aca="false">IF(A20="","",COUNTIFS('Deferred edits'!$C$2:$C$201,A20,'Deferred edits'!$G$2:$G$201,"Waiting"))</f>
        <v/>
      </c>
      <c r="U20" s="46" t="str">
        <f aca="false">IF(A20="","",IF(AND(I20&lt;&gt;"",I20&lt;AsOfDate),"▲ Next date passed",IF(AND(I20&lt;&gt;"",I20&lt;=AsOfDate+7),"● Next date within 7 days",IF(AND(P20&lt;&gt;"",P20&lt;AsOfDate,N20&lt;&gt;"Complete"),"▲ Regulation past target",IF(S20&gt;0,"Open comments","")))))</f>
        <v/>
      </c>
      <c r="V20" s="46"/>
      <c r="W20" s="46"/>
      <c r="X20" s="46"/>
    </row>
    <row r="21" customFormat="false" ht="15" hidden="false" customHeight="false" outlineLevel="0" collapsed="false">
      <c r="A21" s="46"/>
      <c r="B21" s="46"/>
      <c r="C21" s="46"/>
      <c r="D21" s="46"/>
      <c r="E21" s="46"/>
      <c r="F21" s="46"/>
      <c r="G21" s="46"/>
      <c r="H21" s="46"/>
      <c r="I21" s="46"/>
      <c r="J21" s="46"/>
      <c r="K21" s="48" t="str">
        <f aca="false">IF(W21="","",HYPERLINK(W21,"Simbli"))</f>
        <v/>
      </c>
      <c r="L21" s="48" t="str">
        <f aca="false">IF(X21="","",HYPERLINK(X21,"Simbli"))</f>
        <v/>
      </c>
      <c r="M21" s="46"/>
      <c r="N21" s="46"/>
      <c r="O21" s="46"/>
      <c r="P21" s="46" t="str">
        <f aca="false">IF(OR(A21="",O21=""),"",O21+RegDays)</f>
        <v/>
      </c>
      <c r="Q21" s="46" t="str">
        <f aca="false">IF(A21="","",IF(SUMPRODUCT(MAX((Versions!$B$2:$B$501=A21)*(Versions!$M$2:$M$501="Yes")*ROW(Versions!$B$2:$B$501)))=0,"",INDEX(Versions!$A$1:$A$501,SUMPRODUCT(MAX((Versions!$B$2:$B$501=A21)*(Versions!$M$2:$M$501="Yes")*ROW(Versions!$B$2:$B$501))))))</f>
        <v/>
      </c>
      <c r="R21" s="46" t="str">
        <f aca="false">IF(A21="","",COUNTIF(Comments!$B$2:$B$2001,A21))</f>
        <v/>
      </c>
      <c r="S21" s="46" t="str">
        <f aca="false">IF(A21="","",COUNTIFS(Comments!$B$2:$B$2001,A21,Comments!$N$2:$N$2001,"Open"))</f>
        <v/>
      </c>
      <c r="T21" s="46" t="str">
        <f aca="false">IF(A21="","",COUNTIFS('Deferred edits'!$C$2:$C$201,A21,'Deferred edits'!$G$2:$G$201,"Waiting"))</f>
        <v/>
      </c>
      <c r="U21" s="46" t="str">
        <f aca="false">IF(A21="","",IF(AND(I21&lt;&gt;"",I21&lt;AsOfDate),"▲ Next date passed",IF(AND(I21&lt;&gt;"",I21&lt;=AsOfDate+7),"● Next date within 7 days",IF(AND(P21&lt;&gt;"",P21&lt;AsOfDate,N21&lt;&gt;"Complete"),"▲ Regulation past target",IF(S21&gt;0,"Open comments","")))))</f>
        <v/>
      </c>
      <c r="V21" s="46"/>
      <c r="W21" s="46"/>
      <c r="X21" s="46"/>
    </row>
    <row r="22" customFormat="false" ht="15" hidden="false" customHeight="false" outlineLevel="0" collapsed="false">
      <c r="A22" s="46"/>
      <c r="B22" s="46"/>
      <c r="C22" s="46"/>
      <c r="D22" s="46"/>
      <c r="E22" s="46"/>
      <c r="F22" s="46"/>
      <c r="G22" s="46"/>
      <c r="H22" s="46"/>
      <c r="I22" s="46"/>
      <c r="J22" s="46"/>
      <c r="K22" s="48" t="str">
        <f aca="false">IF(W22="","",HYPERLINK(W22,"Simbli"))</f>
        <v/>
      </c>
      <c r="L22" s="48" t="str">
        <f aca="false">IF(X22="","",HYPERLINK(X22,"Simbli"))</f>
        <v/>
      </c>
      <c r="M22" s="46"/>
      <c r="N22" s="46"/>
      <c r="O22" s="46"/>
      <c r="P22" s="46" t="str">
        <f aca="false">IF(OR(A22="",O22=""),"",O22+RegDays)</f>
        <v/>
      </c>
      <c r="Q22" s="46" t="str">
        <f aca="false">IF(A22="","",IF(SUMPRODUCT(MAX((Versions!$B$2:$B$501=A22)*(Versions!$M$2:$M$501="Yes")*ROW(Versions!$B$2:$B$501)))=0,"",INDEX(Versions!$A$1:$A$501,SUMPRODUCT(MAX((Versions!$B$2:$B$501=A22)*(Versions!$M$2:$M$501="Yes")*ROW(Versions!$B$2:$B$501))))))</f>
        <v/>
      </c>
      <c r="R22" s="46" t="str">
        <f aca="false">IF(A22="","",COUNTIF(Comments!$B$2:$B$2001,A22))</f>
        <v/>
      </c>
      <c r="S22" s="46" t="str">
        <f aca="false">IF(A22="","",COUNTIFS(Comments!$B$2:$B$2001,A22,Comments!$N$2:$N$2001,"Open"))</f>
        <v/>
      </c>
      <c r="T22" s="46" t="str">
        <f aca="false">IF(A22="","",COUNTIFS('Deferred edits'!$C$2:$C$201,A22,'Deferred edits'!$G$2:$G$201,"Waiting"))</f>
        <v/>
      </c>
      <c r="U22" s="46" t="str">
        <f aca="false">IF(A22="","",IF(AND(I22&lt;&gt;"",I22&lt;AsOfDate),"▲ Next date passed",IF(AND(I22&lt;&gt;"",I22&lt;=AsOfDate+7),"● Next date within 7 days",IF(AND(P22&lt;&gt;"",P22&lt;AsOfDate,N22&lt;&gt;"Complete"),"▲ Regulation past target",IF(S22&gt;0,"Open comments","")))))</f>
        <v/>
      </c>
      <c r="V22" s="46"/>
      <c r="W22" s="46"/>
      <c r="X22" s="46"/>
    </row>
    <row r="23" customFormat="false" ht="15" hidden="false" customHeight="false" outlineLevel="0" collapsed="false">
      <c r="A23" s="46"/>
      <c r="B23" s="46"/>
      <c r="C23" s="46"/>
      <c r="D23" s="46"/>
      <c r="E23" s="46"/>
      <c r="F23" s="46"/>
      <c r="G23" s="46"/>
      <c r="H23" s="46"/>
      <c r="I23" s="46"/>
      <c r="J23" s="46"/>
      <c r="K23" s="48" t="str">
        <f aca="false">IF(W23="","",HYPERLINK(W23,"Simbli"))</f>
        <v/>
      </c>
      <c r="L23" s="48" t="str">
        <f aca="false">IF(X23="","",HYPERLINK(X23,"Simbli"))</f>
        <v/>
      </c>
      <c r="M23" s="46"/>
      <c r="N23" s="46"/>
      <c r="O23" s="46"/>
      <c r="P23" s="46" t="str">
        <f aca="false">IF(OR(A23="",O23=""),"",O23+RegDays)</f>
        <v/>
      </c>
      <c r="Q23" s="46" t="str">
        <f aca="false">IF(A23="","",IF(SUMPRODUCT(MAX((Versions!$B$2:$B$501=A23)*(Versions!$M$2:$M$501="Yes")*ROW(Versions!$B$2:$B$501)))=0,"",INDEX(Versions!$A$1:$A$501,SUMPRODUCT(MAX((Versions!$B$2:$B$501=A23)*(Versions!$M$2:$M$501="Yes")*ROW(Versions!$B$2:$B$501))))))</f>
        <v/>
      </c>
      <c r="R23" s="46" t="str">
        <f aca="false">IF(A23="","",COUNTIF(Comments!$B$2:$B$2001,A23))</f>
        <v/>
      </c>
      <c r="S23" s="46" t="str">
        <f aca="false">IF(A23="","",COUNTIFS(Comments!$B$2:$B$2001,A23,Comments!$N$2:$N$2001,"Open"))</f>
        <v/>
      </c>
      <c r="T23" s="46" t="str">
        <f aca="false">IF(A23="","",COUNTIFS('Deferred edits'!$C$2:$C$201,A23,'Deferred edits'!$G$2:$G$201,"Waiting"))</f>
        <v/>
      </c>
      <c r="U23" s="46" t="str">
        <f aca="false">IF(A23="","",IF(AND(I23&lt;&gt;"",I23&lt;AsOfDate),"▲ Next date passed",IF(AND(I23&lt;&gt;"",I23&lt;=AsOfDate+7),"● Next date within 7 days",IF(AND(P23&lt;&gt;"",P23&lt;AsOfDate,N23&lt;&gt;"Complete"),"▲ Regulation past target",IF(S23&gt;0,"Open comments","")))))</f>
        <v/>
      </c>
      <c r="V23" s="46"/>
      <c r="W23" s="46"/>
      <c r="X23" s="46"/>
    </row>
    <row r="24" customFormat="false" ht="15" hidden="false" customHeight="false" outlineLevel="0" collapsed="false">
      <c r="A24" s="46"/>
      <c r="B24" s="46"/>
      <c r="C24" s="46"/>
      <c r="D24" s="46"/>
      <c r="E24" s="46"/>
      <c r="F24" s="46"/>
      <c r="G24" s="46"/>
      <c r="H24" s="46"/>
      <c r="I24" s="46"/>
      <c r="J24" s="46"/>
      <c r="K24" s="48" t="str">
        <f aca="false">IF(W24="","",HYPERLINK(W24,"Simbli"))</f>
        <v/>
      </c>
      <c r="L24" s="48" t="str">
        <f aca="false">IF(X24="","",HYPERLINK(X24,"Simbli"))</f>
        <v/>
      </c>
      <c r="M24" s="46"/>
      <c r="N24" s="46"/>
      <c r="O24" s="46"/>
      <c r="P24" s="46" t="str">
        <f aca="false">IF(OR(A24="",O24=""),"",O24+RegDays)</f>
        <v/>
      </c>
      <c r="Q24" s="46" t="str">
        <f aca="false">IF(A24="","",IF(SUMPRODUCT(MAX((Versions!$B$2:$B$501=A24)*(Versions!$M$2:$M$501="Yes")*ROW(Versions!$B$2:$B$501)))=0,"",INDEX(Versions!$A$1:$A$501,SUMPRODUCT(MAX((Versions!$B$2:$B$501=A24)*(Versions!$M$2:$M$501="Yes")*ROW(Versions!$B$2:$B$501))))))</f>
        <v/>
      </c>
      <c r="R24" s="46" t="str">
        <f aca="false">IF(A24="","",COUNTIF(Comments!$B$2:$B$2001,A24))</f>
        <v/>
      </c>
      <c r="S24" s="46" t="str">
        <f aca="false">IF(A24="","",COUNTIFS(Comments!$B$2:$B$2001,A24,Comments!$N$2:$N$2001,"Open"))</f>
        <v/>
      </c>
      <c r="T24" s="46" t="str">
        <f aca="false">IF(A24="","",COUNTIFS('Deferred edits'!$C$2:$C$201,A24,'Deferred edits'!$G$2:$G$201,"Waiting"))</f>
        <v/>
      </c>
      <c r="U24" s="46" t="str">
        <f aca="false">IF(A24="","",IF(AND(I24&lt;&gt;"",I24&lt;AsOfDate),"▲ Next date passed",IF(AND(I24&lt;&gt;"",I24&lt;=AsOfDate+7),"● Next date within 7 days",IF(AND(P24&lt;&gt;"",P24&lt;AsOfDate,N24&lt;&gt;"Complete"),"▲ Regulation past target",IF(S24&gt;0,"Open comments","")))))</f>
        <v/>
      </c>
      <c r="V24" s="46"/>
      <c r="W24" s="46"/>
      <c r="X24" s="46"/>
    </row>
    <row r="25" customFormat="false" ht="15" hidden="false" customHeight="false" outlineLevel="0" collapsed="false">
      <c r="A25" s="46"/>
      <c r="B25" s="46"/>
      <c r="C25" s="46"/>
      <c r="D25" s="46"/>
      <c r="E25" s="46"/>
      <c r="F25" s="46"/>
      <c r="G25" s="46"/>
      <c r="H25" s="46"/>
      <c r="I25" s="46"/>
      <c r="J25" s="46"/>
      <c r="K25" s="48" t="str">
        <f aca="false">IF(W25="","",HYPERLINK(W25,"Simbli"))</f>
        <v/>
      </c>
      <c r="L25" s="48" t="str">
        <f aca="false">IF(X25="","",HYPERLINK(X25,"Simbli"))</f>
        <v/>
      </c>
      <c r="M25" s="46"/>
      <c r="N25" s="46"/>
      <c r="O25" s="46"/>
      <c r="P25" s="46" t="str">
        <f aca="false">IF(OR(A25="",O25=""),"",O25+RegDays)</f>
        <v/>
      </c>
      <c r="Q25" s="46" t="str">
        <f aca="false">IF(A25="","",IF(SUMPRODUCT(MAX((Versions!$B$2:$B$501=A25)*(Versions!$M$2:$M$501="Yes")*ROW(Versions!$B$2:$B$501)))=0,"",INDEX(Versions!$A$1:$A$501,SUMPRODUCT(MAX((Versions!$B$2:$B$501=A25)*(Versions!$M$2:$M$501="Yes")*ROW(Versions!$B$2:$B$501))))))</f>
        <v/>
      </c>
      <c r="R25" s="46" t="str">
        <f aca="false">IF(A25="","",COUNTIF(Comments!$B$2:$B$2001,A25))</f>
        <v/>
      </c>
      <c r="S25" s="46" t="str">
        <f aca="false">IF(A25="","",COUNTIFS(Comments!$B$2:$B$2001,A25,Comments!$N$2:$N$2001,"Open"))</f>
        <v/>
      </c>
      <c r="T25" s="46" t="str">
        <f aca="false">IF(A25="","",COUNTIFS('Deferred edits'!$C$2:$C$201,A25,'Deferred edits'!$G$2:$G$201,"Waiting"))</f>
        <v/>
      </c>
      <c r="U25" s="46" t="str">
        <f aca="false">IF(A25="","",IF(AND(I25&lt;&gt;"",I25&lt;AsOfDate),"▲ Next date passed",IF(AND(I25&lt;&gt;"",I25&lt;=AsOfDate+7),"● Next date within 7 days",IF(AND(P25&lt;&gt;"",P25&lt;AsOfDate,N25&lt;&gt;"Complete"),"▲ Regulation past target",IF(S25&gt;0,"Open comments","")))))</f>
        <v/>
      </c>
      <c r="V25" s="46"/>
      <c r="W25" s="46"/>
      <c r="X25" s="46"/>
    </row>
    <row r="26" customFormat="false" ht="15" hidden="false" customHeight="false" outlineLevel="0" collapsed="false">
      <c r="A26" s="46"/>
      <c r="B26" s="46"/>
      <c r="C26" s="46"/>
      <c r="D26" s="46"/>
      <c r="E26" s="46"/>
      <c r="F26" s="46"/>
      <c r="G26" s="46"/>
      <c r="H26" s="46"/>
      <c r="I26" s="46"/>
      <c r="J26" s="46"/>
      <c r="K26" s="48" t="str">
        <f aca="false">IF(W26="","",HYPERLINK(W26,"Simbli"))</f>
        <v/>
      </c>
      <c r="L26" s="48" t="str">
        <f aca="false">IF(X26="","",HYPERLINK(X26,"Simbli"))</f>
        <v/>
      </c>
      <c r="M26" s="46"/>
      <c r="N26" s="46"/>
      <c r="O26" s="46"/>
      <c r="P26" s="46" t="str">
        <f aca="false">IF(OR(A26="",O26=""),"",O26+RegDays)</f>
        <v/>
      </c>
      <c r="Q26" s="46" t="str">
        <f aca="false">IF(A26="","",IF(SUMPRODUCT(MAX((Versions!$B$2:$B$501=A26)*(Versions!$M$2:$M$501="Yes")*ROW(Versions!$B$2:$B$501)))=0,"",INDEX(Versions!$A$1:$A$501,SUMPRODUCT(MAX((Versions!$B$2:$B$501=A26)*(Versions!$M$2:$M$501="Yes")*ROW(Versions!$B$2:$B$501))))))</f>
        <v/>
      </c>
      <c r="R26" s="46" t="str">
        <f aca="false">IF(A26="","",COUNTIF(Comments!$B$2:$B$2001,A26))</f>
        <v/>
      </c>
      <c r="S26" s="46" t="str">
        <f aca="false">IF(A26="","",COUNTIFS(Comments!$B$2:$B$2001,A26,Comments!$N$2:$N$2001,"Open"))</f>
        <v/>
      </c>
      <c r="T26" s="46" t="str">
        <f aca="false">IF(A26="","",COUNTIFS('Deferred edits'!$C$2:$C$201,A26,'Deferred edits'!$G$2:$G$201,"Waiting"))</f>
        <v/>
      </c>
      <c r="U26" s="46" t="str">
        <f aca="false">IF(A26="","",IF(AND(I26&lt;&gt;"",I26&lt;AsOfDate),"▲ Next date passed",IF(AND(I26&lt;&gt;"",I26&lt;=AsOfDate+7),"● Next date within 7 days",IF(AND(P26&lt;&gt;"",P26&lt;AsOfDate,N26&lt;&gt;"Complete"),"▲ Regulation past target",IF(S26&gt;0,"Open comments","")))))</f>
        <v/>
      </c>
      <c r="V26" s="46"/>
      <c r="W26" s="46"/>
      <c r="X26" s="46"/>
    </row>
    <row r="27" customFormat="false" ht="15" hidden="false" customHeight="false" outlineLevel="0" collapsed="false">
      <c r="A27" s="46"/>
      <c r="B27" s="46"/>
      <c r="C27" s="46"/>
      <c r="D27" s="46"/>
      <c r="E27" s="46"/>
      <c r="F27" s="46"/>
      <c r="G27" s="46"/>
      <c r="H27" s="46"/>
      <c r="I27" s="46"/>
      <c r="J27" s="46"/>
      <c r="K27" s="48" t="str">
        <f aca="false">IF(W27="","",HYPERLINK(W27,"Simbli"))</f>
        <v/>
      </c>
      <c r="L27" s="48" t="str">
        <f aca="false">IF(X27="","",HYPERLINK(X27,"Simbli"))</f>
        <v/>
      </c>
      <c r="M27" s="46"/>
      <c r="N27" s="46"/>
      <c r="O27" s="46"/>
      <c r="P27" s="46" t="str">
        <f aca="false">IF(OR(A27="",O27=""),"",O27+RegDays)</f>
        <v/>
      </c>
      <c r="Q27" s="46" t="str">
        <f aca="false">IF(A27="","",IF(SUMPRODUCT(MAX((Versions!$B$2:$B$501=A27)*(Versions!$M$2:$M$501="Yes")*ROW(Versions!$B$2:$B$501)))=0,"",INDEX(Versions!$A$1:$A$501,SUMPRODUCT(MAX((Versions!$B$2:$B$501=A27)*(Versions!$M$2:$M$501="Yes")*ROW(Versions!$B$2:$B$501))))))</f>
        <v/>
      </c>
      <c r="R27" s="46" t="str">
        <f aca="false">IF(A27="","",COUNTIF(Comments!$B$2:$B$2001,A27))</f>
        <v/>
      </c>
      <c r="S27" s="46" t="str">
        <f aca="false">IF(A27="","",COUNTIFS(Comments!$B$2:$B$2001,A27,Comments!$N$2:$N$2001,"Open"))</f>
        <v/>
      </c>
      <c r="T27" s="46" t="str">
        <f aca="false">IF(A27="","",COUNTIFS('Deferred edits'!$C$2:$C$201,A27,'Deferred edits'!$G$2:$G$201,"Waiting"))</f>
        <v/>
      </c>
      <c r="U27" s="46" t="str">
        <f aca="false">IF(A27="","",IF(AND(I27&lt;&gt;"",I27&lt;AsOfDate),"▲ Next date passed",IF(AND(I27&lt;&gt;"",I27&lt;=AsOfDate+7),"● Next date within 7 days",IF(AND(P27&lt;&gt;"",P27&lt;AsOfDate,N27&lt;&gt;"Complete"),"▲ Regulation past target",IF(S27&gt;0,"Open comments","")))))</f>
        <v/>
      </c>
      <c r="V27" s="46"/>
      <c r="W27" s="46"/>
      <c r="X27" s="46"/>
    </row>
    <row r="28" customFormat="false" ht="15" hidden="false" customHeight="false" outlineLevel="0" collapsed="false">
      <c r="A28" s="46"/>
      <c r="B28" s="46"/>
      <c r="C28" s="46"/>
      <c r="D28" s="46"/>
      <c r="E28" s="46"/>
      <c r="F28" s="46"/>
      <c r="G28" s="46"/>
      <c r="H28" s="46"/>
      <c r="I28" s="46"/>
      <c r="J28" s="46"/>
      <c r="K28" s="48" t="str">
        <f aca="false">IF(W28="","",HYPERLINK(W28,"Simbli"))</f>
        <v/>
      </c>
      <c r="L28" s="48" t="str">
        <f aca="false">IF(X28="","",HYPERLINK(X28,"Simbli"))</f>
        <v/>
      </c>
      <c r="M28" s="46"/>
      <c r="N28" s="46"/>
      <c r="O28" s="46"/>
      <c r="P28" s="46" t="str">
        <f aca="false">IF(OR(A28="",O28=""),"",O28+RegDays)</f>
        <v/>
      </c>
      <c r="Q28" s="46" t="str">
        <f aca="false">IF(A28="","",IF(SUMPRODUCT(MAX((Versions!$B$2:$B$501=A28)*(Versions!$M$2:$M$501="Yes")*ROW(Versions!$B$2:$B$501)))=0,"",INDEX(Versions!$A$1:$A$501,SUMPRODUCT(MAX((Versions!$B$2:$B$501=A28)*(Versions!$M$2:$M$501="Yes")*ROW(Versions!$B$2:$B$501))))))</f>
        <v/>
      </c>
      <c r="R28" s="46" t="str">
        <f aca="false">IF(A28="","",COUNTIF(Comments!$B$2:$B$2001,A28))</f>
        <v/>
      </c>
      <c r="S28" s="46" t="str">
        <f aca="false">IF(A28="","",COUNTIFS(Comments!$B$2:$B$2001,A28,Comments!$N$2:$N$2001,"Open"))</f>
        <v/>
      </c>
      <c r="T28" s="46" t="str">
        <f aca="false">IF(A28="","",COUNTIFS('Deferred edits'!$C$2:$C$201,A28,'Deferred edits'!$G$2:$G$201,"Waiting"))</f>
        <v/>
      </c>
      <c r="U28" s="46" t="str">
        <f aca="false">IF(A28="","",IF(AND(I28&lt;&gt;"",I28&lt;AsOfDate),"▲ Next date passed",IF(AND(I28&lt;&gt;"",I28&lt;=AsOfDate+7),"● Next date within 7 days",IF(AND(P28&lt;&gt;"",P28&lt;AsOfDate,N28&lt;&gt;"Complete"),"▲ Regulation past target",IF(S28&gt;0,"Open comments","")))))</f>
        <v/>
      </c>
      <c r="V28" s="46"/>
      <c r="W28" s="46"/>
      <c r="X28" s="46"/>
    </row>
    <row r="29" customFormat="false" ht="15" hidden="false" customHeight="false" outlineLevel="0" collapsed="false">
      <c r="A29" s="46"/>
      <c r="B29" s="46"/>
      <c r="C29" s="46"/>
      <c r="D29" s="46"/>
      <c r="E29" s="46"/>
      <c r="F29" s="46"/>
      <c r="G29" s="46"/>
      <c r="H29" s="46"/>
      <c r="I29" s="46"/>
      <c r="J29" s="46"/>
      <c r="K29" s="48" t="str">
        <f aca="false">IF(W29="","",HYPERLINK(W29,"Simbli"))</f>
        <v/>
      </c>
      <c r="L29" s="48" t="str">
        <f aca="false">IF(X29="","",HYPERLINK(X29,"Simbli"))</f>
        <v/>
      </c>
      <c r="M29" s="46"/>
      <c r="N29" s="46"/>
      <c r="O29" s="46"/>
      <c r="P29" s="46" t="str">
        <f aca="false">IF(OR(A29="",O29=""),"",O29+RegDays)</f>
        <v/>
      </c>
      <c r="Q29" s="46" t="str">
        <f aca="false">IF(A29="","",IF(SUMPRODUCT(MAX((Versions!$B$2:$B$501=A29)*(Versions!$M$2:$M$501="Yes")*ROW(Versions!$B$2:$B$501)))=0,"",INDEX(Versions!$A$1:$A$501,SUMPRODUCT(MAX((Versions!$B$2:$B$501=A29)*(Versions!$M$2:$M$501="Yes")*ROW(Versions!$B$2:$B$501))))))</f>
        <v/>
      </c>
      <c r="R29" s="46" t="str">
        <f aca="false">IF(A29="","",COUNTIF(Comments!$B$2:$B$2001,A29))</f>
        <v/>
      </c>
      <c r="S29" s="46" t="str">
        <f aca="false">IF(A29="","",COUNTIFS(Comments!$B$2:$B$2001,A29,Comments!$N$2:$N$2001,"Open"))</f>
        <v/>
      </c>
      <c r="T29" s="46" t="str">
        <f aca="false">IF(A29="","",COUNTIFS('Deferred edits'!$C$2:$C$201,A29,'Deferred edits'!$G$2:$G$201,"Waiting"))</f>
        <v/>
      </c>
      <c r="U29" s="46" t="str">
        <f aca="false">IF(A29="","",IF(AND(I29&lt;&gt;"",I29&lt;AsOfDate),"▲ Next date passed",IF(AND(I29&lt;&gt;"",I29&lt;=AsOfDate+7),"● Next date within 7 days",IF(AND(P29&lt;&gt;"",P29&lt;AsOfDate,N29&lt;&gt;"Complete"),"▲ Regulation past target",IF(S29&gt;0,"Open comments","")))))</f>
        <v/>
      </c>
      <c r="V29" s="46"/>
      <c r="W29" s="46"/>
      <c r="X29" s="46"/>
    </row>
    <row r="30" customFormat="false" ht="15" hidden="false" customHeight="false" outlineLevel="0" collapsed="false">
      <c r="A30" s="46"/>
      <c r="B30" s="46"/>
      <c r="C30" s="46"/>
      <c r="D30" s="46"/>
      <c r="E30" s="46"/>
      <c r="F30" s="46"/>
      <c r="G30" s="46"/>
      <c r="H30" s="46"/>
      <c r="I30" s="46"/>
      <c r="J30" s="46"/>
      <c r="K30" s="48" t="str">
        <f aca="false">IF(W30="","",HYPERLINK(W30,"Simbli"))</f>
        <v/>
      </c>
      <c r="L30" s="48" t="str">
        <f aca="false">IF(X30="","",HYPERLINK(X30,"Simbli"))</f>
        <v/>
      </c>
      <c r="M30" s="46"/>
      <c r="N30" s="46"/>
      <c r="O30" s="46"/>
      <c r="P30" s="46" t="str">
        <f aca="false">IF(OR(A30="",O30=""),"",O30+RegDays)</f>
        <v/>
      </c>
      <c r="Q30" s="46" t="str">
        <f aca="false">IF(A30="","",IF(SUMPRODUCT(MAX((Versions!$B$2:$B$501=A30)*(Versions!$M$2:$M$501="Yes")*ROW(Versions!$B$2:$B$501)))=0,"",INDEX(Versions!$A$1:$A$501,SUMPRODUCT(MAX((Versions!$B$2:$B$501=A30)*(Versions!$M$2:$M$501="Yes")*ROW(Versions!$B$2:$B$501))))))</f>
        <v/>
      </c>
      <c r="R30" s="46" t="str">
        <f aca="false">IF(A30="","",COUNTIF(Comments!$B$2:$B$2001,A30))</f>
        <v/>
      </c>
      <c r="S30" s="46" t="str">
        <f aca="false">IF(A30="","",COUNTIFS(Comments!$B$2:$B$2001,A30,Comments!$N$2:$N$2001,"Open"))</f>
        <v/>
      </c>
      <c r="T30" s="46" t="str">
        <f aca="false">IF(A30="","",COUNTIFS('Deferred edits'!$C$2:$C$201,A30,'Deferred edits'!$G$2:$G$201,"Waiting"))</f>
        <v/>
      </c>
      <c r="U30" s="46" t="str">
        <f aca="false">IF(A30="","",IF(AND(I30&lt;&gt;"",I30&lt;AsOfDate),"▲ Next date passed",IF(AND(I30&lt;&gt;"",I30&lt;=AsOfDate+7),"● Next date within 7 days",IF(AND(P30&lt;&gt;"",P30&lt;AsOfDate,N30&lt;&gt;"Complete"),"▲ Regulation past target",IF(S30&gt;0,"Open comments","")))))</f>
        <v/>
      </c>
      <c r="V30" s="46"/>
      <c r="W30" s="46"/>
      <c r="X30" s="46"/>
    </row>
    <row r="31" customFormat="false" ht="15" hidden="false" customHeight="false" outlineLevel="0" collapsed="false">
      <c r="A31" s="46"/>
      <c r="B31" s="46"/>
      <c r="C31" s="46"/>
      <c r="D31" s="46"/>
      <c r="E31" s="46"/>
      <c r="F31" s="46"/>
      <c r="G31" s="46"/>
      <c r="H31" s="46"/>
      <c r="I31" s="46"/>
      <c r="J31" s="46"/>
      <c r="K31" s="48" t="str">
        <f aca="false">IF(W31="","",HYPERLINK(W31,"Simbli"))</f>
        <v/>
      </c>
      <c r="L31" s="48" t="str">
        <f aca="false">IF(X31="","",HYPERLINK(X31,"Simbli"))</f>
        <v/>
      </c>
      <c r="M31" s="46"/>
      <c r="N31" s="46"/>
      <c r="O31" s="46"/>
      <c r="P31" s="46" t="str">
        <f aca="false">IF(OR(A31="",O31=""),"",O31+RegDays)</f>
        <v/>
      </c>
      <c r="Q31" s="46" t="str">
        <f aca="false">IF(A31="","",IF(SUMPRODUCT(MAX((Versions!$B$2:$B$501=A31)*(Versions!$M$2:$M$501="Yes")*ROW(Versions!$B$2:$B$501)))=0,"",INDEX(Versions!$A$1:$A$501,SUMPRODUCT(MAX((Versions!$B$2:$B$501=A31)*(Versions!$M$2:$M$501="Yes")*ROW(Versions!$B$2:$B$501))))))</f>
        <v/>
      </c>
      <c r="R31" s="46" t="str">
        <f aca="false">IF(A31="","",COUNTIF(Comments!$B$2:$B$2001,A31))</f>
        <v/>
      </c>
      <c r="S31" s="46" t="str">
        <f aca="false">IF(A31="","",COUNTIFS(Comments!$B$2:$B$2001,A31,Comments!$N$2:$N$2001,"Open"))</f>
        <v/>
      </c>
      <c r="T31" s="46" t="str">
        <f aca="false">IF(A31="","",COUNTIFS('Deferred edits'!$C$2:$C$201,A31,'Deferred edits'!$G$2:$G$201,"Waiting"))</f>
        <v/>
      </c>
      <c r="U31" s="46" t="str">
        <f aca="false">IF(A31="","",IF(AND(I31&lt;&gt;"",I31&lt;AsOfDate),"▲ Next date passed",IF(AND(I31&lt;&gt;"",I31&lt;=AsOfDate+7),"● Next date within 7 days",IF(AND(P31&lt;&gt;"",P31&lt;AsOfDate,N31&lt;&gt;"Complete"),"▲ Regulation past target",IF(S31&gt;0,"Open comments","")))))</f>
        <v/>
      </c>
      <c r="V31" s="46"/>
      <c r="W31" s="46"/>
      <c r="X31" s="46"/>
    </row>
    <row r="32" customFormat="false" ht="15" hidden="false" customHeight="false" outlineLevel="0" collapsed="false">
      <c r="A32" s="46"/>
      <c r="B32" s="46"/>
      <c r="C32" s="46"/>
      <c r="D32" s="46"/>
      <c r="E32" s="46"/>
      <c r="F32" s="46"/>
      <c r="G32" s="46"/>
      <c r="H32" s="46"/>
      <c r="I32" s="46"/>
      <c r="J32" s="46"/>
      <c r="K32" s="48" t="str">
        <f aca="false">IF(W32="","",HYPERLINK(W32,"Simbli"))</f>
        <v/>
      </c>
      <c r="L32" s="48" t="str">
        <f aca="false">IF(X32="","",HYPERLINK(X32,"Simbli"))</f>
        <v/>
      </c>
      <c r="M32" s="46"/>
      <c r="N32" s="46"/>
      <c r="O32" s="46"/>
      <c r="P32" s="46" t="str">
        <f aca="false">IF(OR(A32="",O32=""),"",O32+RegDays)</f>
        <v/>
      </c>
      <c r="Q32" s="46" t="str">
        <f aca="false">IF(A32="","",IF(SUMPRODUCT(MAX((Versions!$B$2:$B$501=A32)*(Versions!$M$2:$M$501="Yes")*ROW(Versions!$B$2:$B$501)))=0,"",INDEX(Versions!$A$1:$A$501,SUMPRODUCT(MAX((Versions!$B$2:$B$501=A32)*(Versions!$M$2:$M$501="Yes")*ROW(Versions!$B$2:$B$501))))))</f>
        <v/>
      </c>
      <c r="R32" s="46" t="str">
        <f aca="false">IF(A32="","",COUNTIF(Comments!$B$2:$B$2001,A32))</f>
        <v/>
      </c>
      <c r="S32" s="46" t="str">
        <f aca="false">IF(A32="","",COUNTIFS(Comments!$B$2:$B$2001,A32,Comments!$N$2:$N$2001,"Open"))</f>
        <v/>
      </c>
      <c r="T32" s="46" t="str">
        <f aca="false">IF(A32="","",COUNTIFS('Deferred edits'!$C$2:$C$201,A32,'Deferred edits'!$G$2:$G$201,"Waiting"))</f>
        <v/>
      </c>
      <c r="U32" s="46" t="str">
        <f aca="false">IF(A32="","",IF(AND(I32&lt;&gt;"",I32&lt;AsOfDate),"▲ Next date passed",IF(AND(I32&lt;&gt;"",I32&lt;=AsOfDate+7),"● Next date within 7 days",IF(AND(P32&lt;&gt;"",P32&lt;AsOfDate,N32&lt;&gt;"Complete"),"▲ Regulation past target",IF(S32&gt;0,"Open comments","")))))</f>
        <v/>
      </c>
      <c r="V32" s="46"/>
      <c r="W32" s="46"/>
      <c r="X32" s="46"/>
    </row>
    <row r="33" customFormat="false" ht="15" hidden="false" customHeight="false" outlineLevel="0" collapsed="false">
      <c r="A33" s="46"/>
      <c r="B33" s="46"/>
      <c r="C33" s="46"/>
      <c r="D33" s="46"/>
      <c r="E33" s="46"/>
      <c r="F33" s="46"/>
      <c r="G33" s="46"/>
      <c r="H33" s="46"/>
      <c r="I33" s="46"/>
      <c r="J33" s="46"/>
      <c r="K33" s="48" t="str">
        <f aca="false">IF(W33="","",HYPERLINK(W33,"Simbli"))</f>
        <v/>
      </c>
      <c r="L33" s="48" t="str">
        <f aca="false">IF(X33="","",HYPERLINK(X33,"Simbli"))</f>
        <v/>
      </c>
      <c r="M33" s="46"/>
      <c r="N33" s="46"/>
      <c r="O33" s="46"/>
      <c r="P33" s="46" t="str">
        <f aca="false">IF(OR(A33="",O33=""),"",O33+RegDays)</f>
        <v/>
      </c>
      <c r="Q33" s="46" t="str">
        <f aca="false">IF(A33="","",IF(SUMPRODUCT(MAX((Versions!$B$2:$B$501=A33)*(Versions!$M$2:$M$501="Yes")*ROW(Versions!$B$2:$B$501)))=0,"",INDEX(Versions!$A$1:$A$501,SUMPRODUCT(MAX((Versions!$B$2:$B$501=A33)*(Versions!$M$2:$M$501="Yes")*ROW(Versions!$B$2:$B$501))))))</f>
        <v/>
      </c>
      <c r="R33" s="46" t="str">
        <f aca="false">IF(A33="","",COUNTIF(Comments!$B$2:$B$2001,A33))</f>
        <v/>
      </c>
      <c r="S33" s="46" t="str">
        <f aca="false">IF(A33="","",COUNTIFS(Comments!$B$2:$B$2001,A33,Comments!$N$2:$N$2001,"Open"))</f>
        <v/>
      </c>
      <c r="T33" s="46" t="str">
        <f aca="false">IF(A33="","",COUNTIFS('Deferred edits'!$C$2:$C$201,A33,'Deferred edits'!$G$2:$G$201,"Waiting"))</f>
        <v/>
      </c>
      <c r="U33" s="46" t="str">
        <f aca="false">IF(A33="","",IF(AND(I33&lt;&gt;"",I33&lt;AsOfDate),"▲ Next date passed",IF(AND(I33&lt;&gt;"",I33&lt;=AsOfDate+7),"● Next date within 7 days",IF(AND(P33&lt;&gt;"",P33&lt;AsOfDate,N33&lt;&gt;"Complete"),"▲ Regulation past target",IF(S33&gt;0,"Open comments","")))))</f>
        <v/>
      </c>
      <c r="V33" s="46"/>
      <c r="W33" s="46"/>
      <c r="X33" s="46"/>
    </row>
    <row r="34" customFormat="false" ht="15" hidden="false" customHeight="false" outlineLevel="0" collapsed="false">
      <c r="A34" s="46"/>
      <c r="B34" s="46"/>
      <c r="C34" s="46"/>
      <c r="D34" s="46"/>
      <c r="E34" s="46"/>
      <c r="F34" s="46"/>
      <c r="G34" s="46"/>
      <c r="H34" s="46"/>
      <c r="I34" s="46"/>
      <c r="J34" s="46"/>
      <c r="K34" s="48" t="str">
        <f aca="false">IF(W34="","",HYPERLINK(W34,"Simbli"))</f>
        <v/>
      </c>
      <c r="L34" s="48" t="str">
        <f aca="false">IF(X34="","",HYPERLINK(X34,"Simbli"))</f>
        <v/>
      </c>
      <c r="M34" s="46"/>
      <c r="N34" s="46"/>
      <c r="O34" s="46"/>
      <c r="P34" s="46" t="str">
        <f aca="false">IF(OR(A34="",O34=""),"",O34+RegDays)</f>
        <v/>
      </c>
      <c r="Q34" s="46" t="str">
        <f aca="false">IF(A34="","",IF(SUMPRODUCT(MAX((Versions!$B$2:$B$501=A34)*(Versions!$M$2:$M$501="Yes")*ROW(Versions!$B$2:$B$501)))=0,"",INDEX(Versions!$A$1:$A$501,SUMPRODUCT(MAX((Versions!$B$2:$B$501=A34)*(Versions!$M$2:$M$501="Yes")*ROW(Versions!$B$2:$B$501))))))</f>
        <v/>
      </c>
      <c r="R34" s="46" t="str">
        <f aca="false">IF(A34="","",COUNTIF(Comments!$B$2:$B$2001,A34))</f>
        <v/>
      </c>
      <c r="S34" s="46" t="str">
        <f aca="false">IF(A34="","",COUNTIFS(Comments!$B$2:$B$2001,A34,Comments!$N$2:$N$2001,"Open"))</f>
        <v/>
      </c>
      <c r="T34" s="46" t="str">
        <f aca="false">IF(A34="","",COUNTIFS('Deferred edits'!$C$2:$C$201,A34,'Deferred edits'!$G$2:$G$201,"Waiting"))</f>
        <v/>
      </c>
      <c r="U34" s="46" t="str">
        <f aca="false">IF(A34="","",IF(AND(I34&lt;&gt;"",I34&lt;AsOfDate),"▲ Next date passed",IF(AND(I34&lt;&gt;"",I34&lt;=AsOfDate+7),"● Next date within 7 days",IF(AND(P34&lt;&gt;"",P34&lt;AsOfDate,N34&lt;&gt;"Complete"),"▲ Regulation past target",IF(S34&gt;0,"Open comments","")))))</f>
        <v/>
      </c>
      <c r="V34" s="46"/>
      <c r="W34" s="46"/>
      <c r="X34" s="46"/>
    </row>
    <row r="35" customFormat="false" ht="15" hidden="false" customHeight="false" outlineLevel="0" collapsed="false">
      <c r="A35" s="46"/>
      <c r="B35" s="46"/>
      <c r="C35" s="46"/>
      <c r="D35" s="46"/>
      <c r="E35" s="46"/>
      <c r="F35" s="46"/>
      <c r="G35" s="46"/>
      <c r="H35" s="46"/>
      <c r="I35" s="46"/>
      <c r="J35" s="46"/>
      <c r="K35" s="48" t="str">
        <f aca="false">IF(W35="","",HYPERLINK(W35,"Simbli"))</f>
        <v/>
      </c>
      <c r="L35" s="48" t="str">
        <f aca="false">IF(X35="","",HYPERLINK(X35,"Simbli"))</f>
        <v/>
      </c>
      <c r="M35" s="46"/>
      <c r="N35" s="46"/>
      <c r="O35" s="46"/>
      <c r="P35" s="46" t="str">
        <f aca="false">IF(OR(A35="",O35=""),"",O35+RegDays)</f>
        <v/>
      </c>
      <c r="Q35" s="46" t="str">
        <f aca="false">IF(A35="","",IF(SUMPRODUCT(MAX((Versions!$B$2:$B$501=A35)*(Versions!$M$2:$M$501="Yes")*ROW(Versions!$B$2:$B$501)))=0,"",INDEX(Versions!$A$1:$A$501,SUMPRODUCT(MAX((Versions!$B$2:$B$501=A35)*(Versions!$M$2:$M$501="Yes")*ROW(Versions!$B$2:$B$501))))))</f>
        <v/>
      </c>
      <c r="R35" s="46" t="str">
        <f aca="false">IF(A35="","",COUNTIF(Comments!$B$2:$B$2001,A35))</f>
        <v/>
      </c>
      <c r="S35" s="46" t="str">
        <f aca="false">IF(A35="","",COUNTIFS(Comments!$B$2:$B$2001,A35,Comments!$N$2:$N$2001,"Open"))</f>
        <v/>
      </c>
      <c r="T35" s="46" t="str">
        <f aca="false">IF(A35="","",COUNTIFS('Deferred edits'!$C$2:$C$201,A35,'Deferred edits'!$G$2:$G$201,"Waiting"))</f>
        <v/>
      </c>
      <c r="U35" s="46" t="str">
        <f aca="false">IF(A35="","",IF(AND(I35&lt;&gt;"",I35&lt;AsOfDate),"▲ Next date passed",IF(AND(I35&lt;&gt;"",I35&lt;=AsOfDate+7),"● Next date within 7 days",IF(AND(P35&lt;&gt;"",P35&lt;AsOfDate,N35&lt;&gt;"Complete"),"▲ Regulation past target",IF(S35&gt;0,"Open comments","")))))</f>
        <v/>
      </c>
      <c r="V35" s="46"/>
      <c r="W35" s="46"/>
      <c r="X35" s="46"/>
    </row>
    <row r="36" customFormat="false" ht="15" hidden="false" customHeight="false" outlineLevel="0" collapsed="false">
      <c r="A36" s="46"/>
      <c r="B36" s="46"/>
      <c r="C36" s="46"/>
      <c r="D36" s="46"/>
      <c r="E36" s="46"/>
      <c r="F36" s="46"/>
      <c r="G36" s="46"/>
      <c r="H36" s="46"/>
      <c r="I36" s="46"/>
      <c r="J36" s="46"/>
      <c r="K36" s="48" t="str">
        <f aca="false">IF(W36="","",HYPERLINK(W36,"Simbli"))</f>
        <v/>
      </c>
      <c r="L36" s="48" t="str">
        <f aca="false">IF(X36="","",HYPERLINK(X36,"Simbli"))</f>
        <v/>
      </c>
      <c r="M36" s="46"/>
      <c r="N36" s="46"/>
      <c r="O36" s="46"/>
      <c r="P36" s="46" t="str">
        <f aca="false">IF(OR(A36="",O36=""),"",O36+RegDays)</f>
        <v/>
      </c>
      <c r="Q36" s="46" t="str">
        <f aca="false">IF(A36="","",IF(SUMPRODUCT(MAX((Versions!$B$2:$B$501=A36)*(Versions!$M$2:$M$501="Yes")*ROW(Versions!$B$2:$B$501)))=0,"",INDEX(Versions!$A$1:$A$501,SUMPRODUCT(MAX((Versions!$B$2:$B$501=A36)*(Versions!$M$2:$M$501="Yes")*ROW(Versions!$B$2:$B$501))))))</f>
        <v/>
      </c>
      <c r="R36" s="46" t="str">
        <f aca="false">IF(A36="","",COUNTIF(Comments!$B$2:$B$2001,A36))</f>
        <v/>
      </c>
      <c r="S36" s="46" t="str">
        <f aca="false">IF(A36="","",COUNTIFS(Comments!$B$2:$B$2001,A36,Comments!$N$2:$N$2001,"Open"))</f>
        <v/>
      </c>
      <c r="T36" s="46" t="str">
        <f aca="false">IF(A36="","",COUNTIFS('Deferred edits'!$C$2:$C$201,A36,'Deferred edits'!$G$2:$G$201,"Waiting"))</f>
        <v/>
      </c>
      <c r="U36" s="46" t="str">
        <f aca="false">IF(A36="","",IF(AND(I36&lt;&gt;"",I36&lt;AsOfDate),"▲ Next date passed",IF(AND(I36&lt;&gt;"",I36&lt;=AsOfDate+7),"● Next date within 7 days",IF(AND(P36&lt;&gt;"",P36&lt;AsOfDate,N36&lt;&gt;"Complete"),"▲ Regulation past target",IF(S36&gt;0,"Open comments","")))))</f>
        <v/>
      </c>
      <c r="V36" s="46"/>
      <c r="W36" s="46"/>
      <c r="X36" s="46"/>
    </row>
    <row r="37" customFormat="false" ht="15" hidden="false" customHeight="false" outlineLevel="0" collapsed="false">
      <c r="A37" s="46"/>
      <c r="B37" s="46"/>
      <c r="C37" s="46"/>
      <c r="D37" s="46"/>
      <c r="E37" s="46"/>
      <c r="F37" s="46"/>
      <c r="G37" s="46"/>
      <c r="H37" s="46"/>
      <c r="I37" s="46"/>
      <c r="J37" s="46"/>
      <c r="K37" s="48" t="str">
        <f aca="false">IF(W37="","",HYPERLINK(W37,"Simbli"))</f>
        <v/>
      </c>
      <c r="L37" s="48" t="str">
        <f aca="false">IF(X37="","",HYPERLINK(X37,"Simbli"))</f>
        <v/>
      </c>
      <c r="M37" s="46"/>
      <c r="N37" s="46"/>
      <c r="O37" s="46"/>
      <c r="P37" s="46" t="str">
        <f aca="false">IF(OR(A37="",O37=""),"",O37+RegDays)</f>
        <v/>
      </c>
      <c r="Q37" s="46" t="str">
        <f aca="false">IF(A37="","",IF(SUMPRODUCT(MAX((Versions!$B$2:$B$501=A37)*(Versions!$M$2:$M$501="Yes")*ROW(Versions!$B$2:$B$501)))=0,"",INDEX(Versions!$A$1:$A$501,SUMPRODUCT(MAX((Versions!$B$2:$B$501=A37)*(Versions!$M$2:$M$501="Yes")*ROW(Versions!$B$2:$B$501))))))</f>
        <v/>
      </c>
      <c r="R37" s="46" t="str">
        <f aca="false">IF(A37="","",COUNTIF(Comments!$B$2:$B$2001,A37))</f>
        <v/>
      </c>
      <c r="S37" s="46" t="str">
        <f aca="false">IF(A37="","",COUNTIFS(Comments!$B$2:$B$2001,A37,Comments!$N$2:$N$2001,"Open"))</f>
        <v/>
      </c>
      <c r="T37" s="46" t="str">
        <f aca="false">IF(A37="","",COUNTIFS('Deferred edits'!$C$2:$C$201,A37,'Deferred edits'!$G$2:$G$201,"Waiting"))</f>
        <v/>
      </c>
      <c r="U37" s="46" t="str">
        <f aca="false">IF(A37="","",IF(AND(I37&lt;&gt;"",I37&lt;AsOfDate),"▲ Next date passed",IF(AND(I37&lt;&gt;"",I37&lt;=AsOfDate+7),"● Next date within 7 days",IF(AND(P37&lt;&gt;"",P37&lt;AsOfDate,N37&lt;&gt;"Complete"),"▲ Regulation past target",IF(S37&gt;0,"Open comments","")))))</f>
        <v/>
      </c>
      <c r="V37" s="46"/>
      <c r="W37" s="46"/>
      <c r="X37" s="46"/>
    </row>
    <row r="38" customFormat="false" ht="15" hidden="false" customHeight="false" outlineLevel="0" collapsed="false">
      <c r="A38" s="46"/>
      <c r="B38" s="46"/>
      <c r="C38" s="46"/>
      <c r="D38" s="46"/>
      <c r="E38" s="46"/>
      <c r="F38" s="46"/>
      <c r="G38" s="46"/>
      <c r="H38" s="46"/>
      <c r="I38" s="46"/>
      <c r="J38" s="46"/>
      <c r="K38" s="48" t="str">
        <f aca="false">IF(W38="","",HYPERLINK(W38,"Simbli"))</f>
        <v/>
      </c>
      <c r="L38" s="48" t="str">
        <f aca="false">IF(X38="","",HYPERLINK(X38,"Simbli"))</f>
        <v/>
      </c>
      <c r="M38" s="46"/>
      <c r="N38" s="46"/>
      <c r="O38" s="46"/>
      <c r="P38" s="46" t="str">
        <f aca="false">IF(OR(A38="",O38=""),"",O38+RegDays)</f>
        <v/>
      </c>
      <c r="Q38" s="46" t="str">
        <f aca="false">IF(A38="","",IF(SUMPRODUCT(MAX((Versions!$B$2:$B$501=A38)*(Versions!$M$2:$M$501="Yes")*ROW(Versions!$B$2:$B$501)))=0,"",INDEX(Versions!$A$1:$A$501,SUMPRODUCT(MAX((Versions!$B$2:$B$501=A38)*(Versions!$M$2:$M$501="Yes")*ROW(Versions!$B$2:$B$501))))))</f>
        <v/>
      </c>
      <c r="R38" s="46" t="str">
        <f aca="false">IF(A38="","",COUNTIF(Comments!$B$2:$B$2001,A38))</f>
        <v/>
      </c>
      <c r="S38" s="46" t="str">
        <f aca="false">IF(A38="","",COUNTIFS(Comments!$B$2:$B$2001,A38,Comments!$N$2:$N$2001,"Open"))</f>
        <v/>
      </c>
      <c r="T38" s="46" t="str">
        <f aca="false">IF(A38="","",COUNTIFS('Deferred edits'!$C$2:$C$201,A38,'Deferred edits'!$G$2:$G$201,"Waiting"))</f>
        <v/>
      </c>
      <c r="U38" s="46" t="str">
        <f aca="false">IF(A38="","",IF(AND(I38&lt;&gt;"",I38&lt;AsOfDate),"▲ Next date passed",IF(AND(I38&lt;&gt;"",I38&lt;=AsOfDate+7),"● Next date within 7 days",IF(AND(P38&lt;&gt;"",P38&lt;AsOfDate,N38&lt;&gt;"Complete"),"▲ Regulation past target",IF(S38&gt;0,"Open comments","")))))</f>
        <v/>
      </c>
      <c r="V38" s="46"/>
      <c r="W38" s="46"/>
      <c r="X38" s="46"/>
    </row>
    <row r="39" customFormat="false" ht="15" hidden="false" customHeight="false" outlineLevel="0" collapsed="false">
      <c r="A39" s="46"/>
      <c r="B39" s="46"/>
      <c r="C39" s="46"/>
      <c r="D39" s="46"/>
      <c r="E39" s="46"/>
      <c r="F39" s="46"/>
      <c r="G39" s="46"/>
      <c r="H39" s="46"/>
      <c r="I39" s="46"/>
      <c r="J39" s="46"/>
      <c r="K39" s="48" t="str">
        <f aca="false">IF(W39="","",HYPERLINK(W39,"Simbli"))</f>
        <v/>
      </c>
      <c r="L39" s="48" t="str">
        <f aca="false">IF(X39="","",HYPERLINK(X39,"Simbli"))</f>
        <v/>
      </c>
      <c r="M39" s="46"/>
      <c r="N39" s="46"/>
      <c r="O39" s="46"/>
      <c r="P39" s="46" t="str">
        <f aca="false">IF(OR(A39="",O39=""),"",O39+RegDays)</f>
        <v/>
      </c>
      <c r="Q39" s="46" t="str">
        <f aca="false">IF(A39="","",IF(SUMPRODUCT(MAX((Versions!$B$2:$B$501=A39)*(Versions!$M$2:$M$501="Yes")*ROW(Versions!$B$2:$B$501)))=0,"",INDEX(Versions!$A$1:$A$501,SUMPRODUCT(MAX((Versions!$B$2:$B$501=A39)*(Versions!$M$2:$M$501="Yes")*ROW(Versions!$B$2:$B$501))))))</f>
        <v/>
      </c>
      <c r="R39" s="46" t="str">
        <f aca="false">IF(A39="","",COUNTIF(Comments!$B$2:$B$2001,A39))</f>
        <v/>
      </c>
      <c r="S39" s="46" t="str">
        <f aca="false">IF(A39="","",COUNTIFS(Comments!$B$2:$B$2001,A39,Comments!$N$2:$N$2001,"Open"))</f>
        <v/>
      </c>
      <c r="T39" s="46" t="str">
        <f aca="false">IF(A39="","",COUNTIFS('Deferred edits'!$C$2:$C$201,A39,'Deferred edits'!$G$2:$G$201,"Waiting"))</f>
        <v/>
      </c>
      <c r="U39" s="46" t="str">
        <f aca="false">IF(A39="","",IF(AND(I39&lt;&gt;"",I39&lt;AsOfDate),"▲ Next date passed",IF(AND(I39&lt;&gt;"",I39&lt;=AsOfDate+7),"● Next date within 7 days",IF(AND(P39&lt;&gt;"",P39&lt;AsOfDate,N39&lt;&gt;"Complete"),"▲ Regulation past target",IF(S39&gt;0,"Open comments","")))))</f>
        <v/>
      </c>
      <c r="V39" s="46"/>
      <c r="W39" s="46"/>
      <c r="X39" s="46"/>
    </row>
    <row r="40" customFormat="false" ht="15" hidden="false" customHeight="false" outlineLevel="0" collapsed="false">
      <c r="A40" s="46"/>
      <c r="B40" s="46"/>
      <c r="C40" s="46"/>
      <c r="D40" s="46"/>
      <c r="E40" s="46"/>
      <c r="F40" s="46"/>
      <c r="G40" s="46"/>
      <c r="H40" s="46"/>
      <c r="I40" s="46"/>
      <c r="J40" s="46"/>
      <c r="K40" s="48" t="str">
        <f aca="false">IF(W40="","",HYPERLINK(W40,"Simbli"))</f>
        <v/>
      </c>
      <c r="L40" s="48" t="str">
        <f aca="false">IF(X40="","",HYPERLINK(X40,"Simbli"))</f>
        <v/>
      </c>
      <c r="M40" s="46"/>
      <c r="N40" s="46"/>
      <c r="O40" s="46"/>
      <c r="P40" s="46" t="str">
        <f aca="false">IF(OR(A40="",O40=""),"",O40+RegDays)</f>
        <v/>
      </c>
      <c r="Q40" s="46" t="str">
        <f aca="false">IF(A40="","",IF(SUMPRODUCT(MAX((Versions!$B$2:$B$501=A40)*(Versions!$M$2:$M$501="Yes")*ROW(Versions!$B$2:$B$501)))=0,"",INDEX(Versions!$A$1:$A$501,SUMPRODUCT(MAX((Versions!$B$2:$B$501=A40)*(Versions!$M$2:$M$501="Yes")*ROW(Versions!$B$2:$B$501))))))</f>
        <v/>
      </c>
      <c r="R40" s="46" t="str">
        <f aca="false">IF(A40="","",COUNTIF(Comments!$B$2:$B$2001,A40))</f>
        <v/>
      </c>
      <c r="S40" s="46" t="str">
        <f aca="false">IF(A40="","",COUNTIFS(Comments!$B$2:$B$2001,A40,Comments!$N$2:$N$2001,"Open"))</f>
        <v/>
      </c>
      <c r="T40" s="46" t="str">
        <f aca="false">IF(A40="","",COUNTIFS('Deferred edits'!$C$2:$C$201,A40,'Deferred edits'!$G$2:$G$201,"Waiting"))</f>
        <v/>
      </c>
      <c r="U40" s="46" t="str">
        <f aca="false">IF(A40="","",IF(AND(I40&lt;&gt;"",I40&lt;AsOfDate),"▲ Next date passed",IF(AND(I40&lt;&gt;"",I40&lt;=AsOfDate+7),"● Next date within 7 days",IF(AND(P40&lt;&gt;"",P40&lt;AsOfDate,N40&lt;&gt;"Complete"),"▲ Regulation past target",IF(S40&gt;0,"Open comments","")))))</f>
        <v/>
      </c>
      <c r="V40" s="46"/>
      <c r="W40" s="46"/>
      <c r="X40" s="46"/>
    </row>
    <row r="41" customFormat="false" ht="15" hidden="false" customHeight="false" outlineLevel="0" collapsed="false">
      <c r="A41" s="46"/>
      <c r="B41" s="46"/>
      <c r="C41" s="46"/>
      <c r="D41" s="46"/>
      <c r="E41" s="46"/>
      <c r="F41" s="46"/>
      <c r="G41" s="46"/>
      <c r="H41" s="46"/>
      <c r="I41" s="46"/>
      <c r="J41" s="46"/>
      <c r="K41" s="48" t="str">
        <f aca="false">IF(W41="","",HYPERLINK(W41,"Simbli"))</f>
        <v/>
      </c>
      <c r="L41" s="48" t="str">
        <f aca="false">IF(X41="","",HYPERLINK(X41,"Simbli"))</f>
        <v/>
      </c>
      <c r="M41" s="46"/>
      <c r="N41" s="46"/>
      <c r="O41" s="46"/>
      <c r="P41" s="46" t="str">
        <f aca="false">IF(OR(A41="",O41=""),"",O41+RegDays)</f>
        <v/>
      </c>
      <c r="Q41" s="46" t="str">
        <f aca="false">IF(A41="","",IF(SUMPRODUCT(MAX((Versions!$B$2:$B$501=A41)*(Versions!$M$2:$M$501="Yes")*ROW(Versions!$B$2:$B$501)))=0,"",INDEX(Versions!$A$1:$A$501,SUMPRODUCT(MAX((Versions!$B$2:$B$501=A41)*(Versions!$M$2:$M$501="Yes")*ROW(Versions!$B$2:$B$501))))))</f>
        <v/>
      </c>
      <c r="R41" s="46" t="str">
        <f aca="false">IF(A41="","",COUNTIF(Comments!$B$2:$B$2001,A41))</f>
        <v/>
      </c>
      <c r="S41" s="46" t="str">
        <f aca="false">IF(A41="","",COUNTIFS(Comments!$B$2:$B$2001,A41,Comments!$N$2:$N$2001,"Open"))</f>
        <v/>
      </c>
      <c r="T41" s="46" t="str">
        <f aca="false">IF(A41="","",COUNTIFS('Deferred edits'!$C$2:$C$201,A41,'Deferred edits'!$G$2:$G$201,"Waiting"))</f>
        <v/>
      </c>
      <c r="U41" s="46" t="str">
        <f aca="false">IF(A41="","",IF(AND(I41&lt;&gt;"",I41&lt;AsOfDate),"▲ Next date passed",IF(AND(I41&lt;&gt;"",I41&lt;=AsOfDate+7),"● Next date within 7 days",IF(AND(P41&lt;&gt;"",P41&lt;AsOfDate,N41&lt;&gt;"Complete"),"▲ Regulation past target",IF(S41&gt;0,"Open comments","")))))</f>
        <v/>
      </c>
      <c r="V41" s="46"/>
      <c r="W41" s="46"/>
      <c r="X41" s="46"/>
    </row>
    <row r="42" customFormat="false" ht="15" hidden="false" customHeight="false" outlineLevel="0" collapsed="false">
      <c r="A42" s="46"/>
      <c r="B42" s="46"/>
      <c r="C42" s="46"/>
      <c r="D42" s="46"/>
      <c r="E42" s="46"/>
      <c r="F42" s="46"/>
      <c r="G42" s="46"/>
      <c r="H42" s="46"/>
      <c r="I42" s="46"/>
      <c r="J42" s="46"/>
      <c r="K42" s="48" t="str">
        <f aca="false">IF(W42="","",HYPERLINK(W42,"Simbli"))</f>
        <v/>
      </c>
      <c r="L42" s="48" t="str">
        <f aca="false">IF(X42="","",HYPERLINK(X42,"Simbli"))</f>
        <v/>
      </c>
      <c r="M42" s="46"/>
      <c r="N42" s="46"/>
      <c r="O42" s="46"/>
      <c r="P42" s="46" t="str">
        <f aca="false">IF(OR(A42="",O42=""),"",O42+RegDays)</f>
        <v/>
      </c>
      <c r="Q42" s="46" t="str">
        <f aca="false">IF(A42="","",IF(SUMPRODUCT(MAX((Versions!$B$2:$B$501=A42)*(Versions!$M$2:$M$501="Yes")*ROW(Versions!$B$2:$B$501)))=0,"",INDEX(Versions!$A$1:$A$501,SUMPRODUCT(MAX((Versions!$B$2:$B$501=A42)*(Versions!$M$2:$M$501="Yes")*ROW(Versions!$B$2:$B$501))))))</f>
        <v/>
      </c>
      <c r="R42" s="46" t="str">
        <f aca="false">IF(A42="","",COUNTIF(Comments!$B$2:$B$2001,A42))</f>
        <v/>
      </c>
      <c r="S42" s="46" t="str">
        <f aca="false">IF(A42="","",COUNTIFS(Comments!$B$2:$B$2001,A42,Comments!$N$2:$N$2001,"Open"))</f>
        <v/>
      </c>
      <c r="T42" s="46" t="str">
        <f aca="false">IF(A42="","",COUNTIFS('Deferred edits'!$C$2:$C$201,A42,'Deferred edits'!$G$2:$G$201,"Waiting"))</f>
        <v/>
      </c>
      <c r="U42" s="46" t="str">
        <f aca="false">IF(A42="","",IF(AND(I42&lt;&gt;"",I42&lt;AsOfDate),"▲ Next date passed",IF(AND(I42&lt;&gt;"",I42&lt;=AsOfDate+7),"● Next date within 7 days",IF(AND(P42&lt;&gt;"",P42&lt;AsOfDate,N42&lt;&gt;"Complete"),"▲ Regulation past target",IF(S42&gt;0,"Open comments","")))))</f>
        <v/>
      </c>
      <c r="V42" s="46"/>
      <c r="W42" s="46"/>
      <c r="X42" s="46"/>
    </row>
    <row r="43" customFormat="false" ht="15" hidden="false" customHeight="false" outlineLevel="0" collapsed="false">
      <c r="A43" s="46"/>
      <c r="B43" s="46"/>
      <c r="C43" s="46"/>
      <c r="D43" s="46"/>
      <c r="E43" s="46"/>
      <c r="F43" s="46"/>
      <c r="G43" s="46"/>
      <c r="H43" s="46"/>
      <c r="I43" s="46"/>
      <c r="J43" s="46"/>
      <c r="K43" s="48" t="str">
        <f aca="false">IF(W43="","",HYPERLINK(W43,"Simbli"))</f>
        <v/>
      </c>
      <c r="L43" s="48" t="str">
        <f aca="false">IF(X43="","",HYPERLINK(X43,"Simbli"))</f>
        <v/>
      </c>
      <c r="M43" s="46"/>
      <c r="N43" s="46"/>
      <c r="O43" s="46"/>
      <c r="P43" s="46" t="str">
        <f aca="false">IF(OR(A43="",O43=""),"",O43+RegDays)</f>
        <v/>
      </c>
      <c r="Q43" s="46" t="str">
        <f aca="false">IF(A43="","",IF(SUMPRODUCT(MAX((Versions!$B$2:$B$501=A43)*(Versions!$M$2:$M$501="Yes")*ROW(Versions!$B$2:$B$501)))=0,"",INDEX(Versions!$A$1:$A$501,SUMPRODUCT(MAX((Versions!$B$2:$B$501=A43)*(Versions!$M$2:$M$501="Yes")*ROW(Versions!$B$2:$B$501))))))</f>
        <v/>
      </c>
      <c r="R43" s="46" t="str">
        <f aca="false">IF(A43="","",COUNTIF(Comments!$B$2:$B$2001,A43))</f>
        <v/>
      </c>
      <c r="S43" s="46" t="str">
        <f aca="false">IF(A43="","",COUNTIFS(Comments!$B$2:$B$2001,A43,Comments!$N$2:$N$2001,"Open"))</f>
        <v/>
      </c>
      <c r="T43" s="46" t="str">
        <f aca="false">IF(A43="","",COUNTIFS('Deferred edits'!$C$2:$C$201,A43,'Deferred edits'!$G$2:$G$201,"Waiting"))</f>
        <v/>
      </c>
      <c r="U43" s="46" t="str">
        <f aca="false">IF(A43="","",IF(AND(I43&lt;&gt;"",I43&lt;AsOfDate),"▲ Next date passed",IF(AND(I43&lt;&gt;"",I43&lt;=AsOfDate+7),"● Next date within 7 days",IF(AND(P43&lt;&gt;"",P43&lt;AsOfDate,N43&lt;&gt;"Complete"),"▲ Regulation past target",IF(S43&gt;0,"Open comments","")))))</f>
        <v/>
      </c>
      <c r="V43" s="46"/>
      <c r="W43" s="46"/>
      <c r="X43" s="46"/>
    </row>
    <row r="44" customFormat="false" ht="15" hidden="false" customHeight="false" outlineLevel="0" collapsed="false">
      <c r="A44" s="46"/>
      <c r="B44" s="46"/>
      <c r="C44" s="46"/>
      <c r="D44" s="46"/>
      <c r="E44" s="46"/>
      <c r="F44" s="46"/>
      <c r="G44" s="46"/>
      <c r="H44" s="46"/>
      <c r="I44" s="46"/>
      <c r="J44" s="46"/>
      <c r="K44" s="48" t="str">
        <f aca="false">IF(W44="","",HYPERLINK(W44,"Simbli"))</f>
        <v/>
      </c>
      <c r="L44" s="48" t="str">
        <f aca="false">IF(X44="","",HYPERLINK(X44,"Simbli"))</f>
        <v/>
      </c>
      <c r="M44" s="46"/>
      <c r="N44" s="46"/>
      <c r="O44" s="46"/>
      <c r="P44" s="46" t="str">
        <f aca="false">IF(OR(A44="",O44=""),"",O44+RegDays)</f>
        <v/>
      </c>
      <c r="Q44" s="46" t="str">
        <f aca="false">IF(A44="","",IF(SUMPRODUCT(MAX((Versions!$B$2:$B$501=A44)*(Versions!$M$2:$M$501="Yes")*ROW(Versions!$B$2:$B$501)))=0,"",INDEX(Versions!$A$1:$A$501,SUMPRODUCT(MAX((Versions!$B$2:$B$501=A44)*(Versions!$M$2:$M$501="Yes")*ROW(Versions!$B$2:$B$501))))))</f>
        <v/>
      </c>
      <c r="R44" s="46" t="str">
        <f aca="false">IF(A44="","",COUNTIF(Comments!$B$2:$B$2001,A44))</f>
        <v/>
      </c>
      <c r="S44" s="46" t="str">
        <f aca="false">IF(A44="","",COUNTIFS(Comments!$B$2:$B$2001,A44,Comments!$N$2:$N$2001,"Open"))</f>
        <v/>
      </c>
      <c r="T44" s="46" t="str">
        <f aca="false">IF(A44="","",COUNTIFS('Deferred edits'!$C$2:$C$201,A44,'Deferred edits'!$G$2:$G$201,"Waiting"))</f>
        <v/>
      </c>
      <c r="U44" s="46" t="str">
        <f aca="false">IF(A44="","",IF(AND(I44&lt;&gt;"",I44&lt;AsOfDate),"▲ Next date passed",IF(AND(I44&lt;&gt;"",I44&lt;=AsOfDate+7),"● Next date within 7 days",IF(AND(P44&lt;&gt;"",P44&lt;AsOfDate,N44&lt;&gt;"Complete"),"▲ Regulation past target",IF(S44&gt;0,"Open comments","")))))</f>
        <v/>
      </c>
      <c r="V44" s="46"/>
      <c r="W44" s="46"/>
      <c r="X44" s="46"/>
    </row>
    <row r="45" customFormat="false" ht="15" hidden="false" customHeight="false" outlineLevel="0" collapsed="false">
      <c r="A45" s="46"/>
      <c r="B45" s="46"/>
      <c r="C45" s="46"/>
      <c r="D45" s="46"/>
      <c r="E45" s="46"/>
      <c r="F45" s="46"/>
      <c r="G45" s="46"/>
      <c r="H45" s="46"/>
      <c r="I45" s="46"/>
      <c r="J45" s="46"/>
      <c r="K45" s="48" t="str">
        <f aca="false">IF(W45="","",HYPERLINK(W45,"Simbli"))</f>
        <v/>
      </c>
      <c r="L45" s="48" t="str">
        <f aca="false">IF(X45="","",HYPERLINK(X45,"Simbli"))</f>
        <v/>
      </c>
      <c r="M45" s="46"/>
      <c r="N45" s="46"/>
      <c r="O45" s="46"/>
      <c r="P45" s="46" t="str">
        <f aca="false">IF(OR(A45="",O45=""),"",O45+RegDays)</f>
        <v/>
      </c>
      <c r="Q45" s="46" t="str">
        <f aca="false">IF(A45="","",IF(SUMPRODUCT(MAX((Versions!$B$2:$B$501=A45)*(Versions!$M$2:$M$501="Yes")*ROW(Versions!$B$2:$B$501)))=0,"",INDEX(Versions!$A$1:$A$501,SUMPRODUCT(MAX((Versions!$B$2:$B$501=A45)*(Versions!$M$2:$M$501="Yes")*ROW(Versions!$B$2:$B$501))))))</f>
        <v/>
      </c>
      <c r="R45" s="46" t="str">
        <f aca="false">IF(A45="","",COUNTIF(Comments!$B$2:$B$2001,A45))</f>
        <v/>
      </c>
      <c r="S45" s="46" t="str">
        <f aca="false">IF(A45="","",COUNTIFS(Comments!$B$2:$B$2001,A45,Comments!$N$2:$N$2001,"Open"))</f>
        <v/>
      </c>
      <c r="T45" s="46" t="str">
        <f aca="false">IF(A45="","",COUNTIFS('Deferred edits'!$C$2:$C$201,A45,'Deferred edits'!$G$2:$G$201,"Waiting"))</f>
        <v/>
      </c>
      <c r="U45" s="46" t="str">
        <f aca="false">IF(A45="","",IF(AND(I45&lt;&gt;"",I45&lt;AsOfDate),"▲ Next date passed",IF(AND(I45&lt;&gt;"",I45&lt;=AsOfDate+7),"● Next date within 7 days",IF(AND(P45&lt;&gt;"",P45&lt;AsOfDate,N45&lt;&gt;"Complete"),"▲ Regulation past target",IF(S45&gt;0,"Open comments","")))))</f>
        <v/>
      </c>
      <c r="V45" s="46"/>
      <c r="W45" s="46"/>
      <c r="X45" s="46"/>
    </row>
    <row r="46" customFormat="false" ht="15" hidden="false" customHeight="false" outlineLevel="0" collapsed="false">
      <c r="A46" s="46"/>
      <c r="B46" s="46"/>
      <c r="C46" s="46"/>
      <c r="D46" s="46"/>
      <c r="E46" s="46"/>
      <c r="F46" s="46"/>
      <c r="G46" s="46"/>
      <c r="H46" s="46"/>
      <c r="I46" s="46"/>
      <c r="J46" s="46"/>
      <c r="K46" s="48" t="str">
        <f aca="false">IF(W46="","",HYPERLINK(W46,"Simbli"))</f>
        <v/>
      </c>
      <c r="L46" s="48" t="str">
        <f aca="false">IF(X46="","",HYPERLINK(X46,"Simbli"))</f>
        <v/>
      </c>
      <c r="M46" s="46"/>
      <c r="N46" s="46"/>
      <c r="O46" s="46"/>
      <c r="P46" s="46" t="str">
        <f aca="false">IF(OR(A46="",O46=""),"",O46+RegDays)</f>
        <v/>
      </c>
      <c r="Q46" s="46" t="str">
        <f aca="false">IF(A46="","",IF(SUMPRODUCT(MAX((Versions!$B$2:$B$501=A46)*(Versions!$M$2:$M$501="Yes")*ROW(Versions!$B$2:$B$501)))=0,"",INDEX(Versions!$A$1:$A$501,SUMPRODUCT(MAX((Versions!$B$2:$B$501=A46)*(Versions!$M$2:$M$501="Yes")*ROW(Versions!$B$2:$B$501))))))</f>
        <v/>
      </c>
      <c r="R46" s="46" t="str">
        <f aca="false">IF(A46="","",COUNTIF(Comments!$B$2:$B$2001,A46))</f>
        <v/>
      </c>
      <c r="S46" s="46" t="str">
        <f aca="false">IF(A46="","",COUNTIFS(Comments!$B$2:$B$2001,A46,Comments!$N$2:$N$2001,"Open"))</f>
        <v/>
      </c>
      <c r="T46" s="46" t="str">
        <f aca="false">IF(A46="","",COUNTIFS('Deferred edits'!$C$2:$C$201,A46,'Deferred edits'!$G$2:$G$201,"Waiting"))</f>
        <v/>
      </c>
      <c r="U46" s="46" t="str">
        <f aca="false">IF(A46="","",IF(AND(I46&lt;&gt;"",I46&lt;AsOfDate),"▲ Next date passed",IF(AND(I46&lt;&gt;"",I46&lt;=AsOfDate+7),"● Next date within 7 days",IF(AND(P46&lt;&gt;"",P46&lt;AsOfDate,N46&lt;&gt;"Complete"),"▲ Regulation past target",IF(S46&gt;0,"Open comments","")))))</f>
        <v/>
      </c>
      <c r="V46" s="46"/>
      <c r="W46" s="46"/>
      <c r="X46" s="46"/>
    </row>
    <row r="47" customFormat="false" ht="15" hidden="false" customHeight="false" outlineLevel="0" collapsed="false">
      <c r="A47" s="46"/>
      <c r="B47" s="46"/>
      <c r="C47" s="46"/>
      <c r="D47" s="46"/>
      <c r="E47" s="46"/>
      <c r="F47" s="46"/>
      <c r="G47" s="46"/>
      <c r="H47" s="46"/>
      <c r="I47" s="46"/>
      <c r="J47" s="46"/>
      <c r="K47" s="48" t="str">
        <f aca="false">IF(W47="","",HYPERLINK(W47,"Simbli"))</f>
        <v/>
      </c>
      <c r="L47" s="48" t="str">
        <f aca="false">IF(X47="","",HYPERLINK(X47,"Simbli"))</f>
        <v/>
      </c>
      <c r="M47" s="46"/>
      <c r="N47" s="46"/>
      <c r="O47" s="46"/>
      <c r="P47" s="46" t="str">
        <f aca="false">IF(OR(A47="",O47=""),"",O47+RegDays)</f>
        <v/>
      </c>
      <c r="Q47" s="46" t="str">
        <f aca="false">IF(A47="","",IF(SUMPRODUCT(MAX((Versions!$B$2:$B$501=A47)*(Versions!$M$2:$M$501="Yes")*ROW(Versions!$B$2:$B$501)))=0,"",INDEX(Versions!$A$1:$A$501,SUMPRODUCT(MAX((Versions!$B$2:$B$501=A47)*(Versions!$M$2:$M$501="Yes")*ROW(Versions!$B$2:$B$501))))))</f>
        <v/>
      </c>
      <c r="R47" s="46" t="str">
        <f aca="false">IF(A47="","",COUNTIF(Comments!$B$2:$B$2001,A47))</f>
        <v/>
      </c>
      <c r="S47" s="46" t="str">
        <f aca="false">IF(A47="","",COUNTIFS(Comments!$B$2:$B$2001,A47,Comments!$N$2:$N$2001,"Open"))</f>
        <v/>
      </c>
      <c r="T47" s="46" t="str">
        <f aca="false">IF(A47="","",COUNTIFS('Deferred edits'!$C$2:$C$201,A47,'Deferred edits'!$G$2:$G$201,"Waiting"))</f>
        <v/>
      </c>
      <c r="U47" s="46" t="str">
        <f aca="false">IF(A47="","",IF(AND(I47&lt;&gt;"",I47&lt;AsOfDate),"▲ Next date passed",IF(AND(I47&lt;&gt;"",I47&lt;=AsOfDate+7),"● Next date within 7 days",IF(AND(P47&lt;&gt;"",P47&lt;AsOfDate,N47&lt;&gt;"Complete"),"▲ Regulation past target",IF(S47&gt;0,"Open comments","")))))</f>
        <v/>
      </c>
      <c r="V47" s="46"/>
      <c r="W47" s="46"/>
      <c r="X47" s="46"/>
    </row>
    <row r="48" customFormat="false" ht="15" hidden="false" customHeight="false" outlineLevel="0" collapsed="false">
      <c r="A48" s="46"/>
      <c r="B48" s="46"/>
      <c r="C48" s="46"/>
      <c r="D48" s="46"/>
      <c r="E48" s="46"/>
      <c r="F48" s="46"/>
      <c r="G48" s="46"/>
      <c r="H48" s="46"/>
      <c r="I48" s="46"/>
      <c r="J48" s="46"/>
      <c r="K48" s="48" t="str">
        <f aca="false">IF(W48="","",HYPERLINK(W48,"Simbli"))</f>
        <v/>
      </c>
      <c r="L48" s="48" t="str">
        <f aca="false">IF(X48="","",HYPERLINK(X48,"Simbli"))</f>
        <v/>
      </c>
      <c r="M48" s="46"/>
      <c r="N48" s="46"/>
      <c r="O48" s="46"/>
      <c r="P48" s="46" t="str">
        <f aca="false">IF(OR(A48="",O48=""),"",O48+RegDays)</f>
        <v/>
      </c>
      <c r="Q48" s="46" t="str">
        <f aca="false">IF(A48="","",IF(SUMPRODUCT(MAX((Versions!$B$2:$B$501=A48)*(Versions!$M$2:$M$501="Yes")*ROW(Versions!$B$2:$B$501)))=0,"",INDEX(Versions!$A$1:$A$501,SUMPRODUCT(MAX((Versions!$B$2:$B$501=A48)*(Versions!$M$2:$M$501="Yes")*ROW(Versions!$B$2:$B$501))))))</f>
        <v/>
      </c>
      <c r="R48" s="46" t="str">
        <f aca="false">IF(A48="","",COUNTIF(Comments!$B$2:$B$2001,A48))</f>
        <v/>
      </c>
      <c r="S48" s="46" t="str">
        <f aca="false">IF(A48="","",COUNTIFS(Comments!$B$2:$B$2001,A48,Comments!$N$2:$N$2001,"Open"))</f>
        <v/>
      </c>
      <c r="T48" s="46" t="str">
        <f aca="false">IF(A48="","",COUNTIFS('Deferred edits'!$C$2:$C$201,A48,'Deferred edits'!$G$2:$G$201,"Waiting"))</f>
        <v/>
      </c>
      <c r="U48" s="46" t="str">
        <f aca="false">IF(A48="","",IF(AND(I48&lt;&gt;"",I48&lt;AsOfDate),"▲ Next date passed",IF(AND(I48&lt;&gt;"",I48&lt;=AsOfDate+7),"● Next date within 7 days",IF(AND(P48&lt;&gt;"",P48&lt;AsOfDate,N48&lt;&gt;"Complete"),"▲ Regulation past target",IF(S48&gt;0,"Open comments","")))))</f>
        <v/>
      </c>
      <c r="V48" s="46"/>
      <c r="W48" s="46"/>
      <c r="X48" s="46"/>
    </row>
    <row r="49" customFormat="false" ht="15" hidden="false" customHeight="false" outlineLevel="0" collapsed="false">
      <c r="A49" s="46"/>
      <c r="B49" s="46"/>
      <c r="C49" s="46"/>
      <c r="D49" s="46"/>
      <c r="E49" s="46"/>
      <c r="F49" s="46"/>
      <c r="G49" s="46"/>
      <c r="H49" s="46"/>
      <c r="I49" s="46"/>
      <c r="J49" s="46"/>
      <c r="K49" s="48" t="str">
        <f aca="false">IF(W49="","",HYPERLINK(W49,"Simbli"))</f>
        <v/>
      </c>
      <c r="L49" s="48" t="str">
        <f aca="false">IF(X49="","",HYPERLINK(X49,"Simbli"))</f>
        <v/>
      </c>
      <c r="M49" s="46"/>
      <c r="N49" s="46"/>
      <c r="O49" s="46"/>
      <c r="P49" s="46" t="str">
        <f aca="false">IF(OR(A49="",O49=""),"",O49+RegDays)</f>
        <v/>
      </c>
      <c r="Q49" s="46" t="str">
        <f aca="false">IF(A49="","",IF(SUMPRODUCT(MAX((Versions!$B$2:$B$501=A49)*(Versions!$M$2:$M$501="Yes")*ROW(Versions!$B$2:$B$501)))=0,"",INDEX(Versions!$A$1:$A$501,SUMPRODUCT(MAX((Versions!$B$2:$B$501=A49)*(Versions!$M$2:$M$501="Yes")*ROW(Versions!$B$2:$B$501))))))</f>
        <v/>
      </c>
      <c r="R49" s="46" t="str">
        <f aca="false">IF(A49="","",COUNTIF(Comments!$B$2:$B$2001,A49))</f>
        <v/>
      </c>
      <c r="S49" s="46" t="str">
        <f aca="false">IF(A49="","",COUNTIFS(Comments!$B$2:$B$2001,A49,Comments!$N$2:$N$2001,"Open"))</f>
        <v/>
      </c>
      <c r="T49" s="46" t="str">
        <f aca="false">IF(A49="","",COUNTIFS('Deferred edits'!$C$2:$C$201,A49,'Deferred edits'!$G$2:$G$201,"Waiting"))</f>
        <v/>
      </c>
      <c r="U49" s="46" t="str">
        <f aca="false">IF(A49="","",IF(AND(I49&lt;&gt;"",I49&lt;AsOfDate),"▲ Next date passed",IF(AND(I49&lt;&gt;"",I49&lt;=AsOfDate+7),"● Next date within 7 days",IF(AND(P49&lt;&gt;"",P49&lt;AsOfDate,N49&lt;&gt;"Complete"),"▲ Regulation past target",IF(S49&gt;0,"Open comments","")))))</f>
        <v/>
      </c>
      <c r="V49" s="46"/>
      <c r="W49" s="46"/>
      <c r="X49" s="46"/>
    </row>
    <row r="50" customFormat="false" ht="15" hidden="false" customHeight="false" outlineLevel="0" collapsed="false">
      <c r="A50" s="46"/>
      <c r="B50" s="46"/>
      <c r="C50" s="46"/>
      <c r="D50" s="46"/>
      <c r="E50" s="46"/>
      <c r="F50" s="46"/>
      <c r="G50" s="46"/>
      <c r="H50" s="46"/>
      <c r="I50" s="46"/>
      <c r="J50" s="46"/>
      <c r="K50" s="48" t="str">
        <f aca="false">IF(W50="","",HYPERLINK(W50,"Simbli"))</f>
        <v/>
      </c>
      <c r="L50" s="48" t="str">
        <f aca="false">IF(X50="","",HYPERLINK(X50,"Simbli"))</f>
        <v/>
      </c>
      <c r="M50" s="46"/>
      <c r="N50" s="46"/>
      <c r="O50" s="46"/>
      <c r="P50" s="46" t="str">
        <f aca="false">IF(OR(A50="",O50=""),"",O50+RegDays)</f>
        <v/>
      </c>
      <c r="Q50" s="46" t="str">
        <f aca="false">IF(A50="","",IF(SUMPRODUCT(MAX((Versions!$B$2:$B$501=A50)*(Versions!$M$2:$M$501="Yes")*ROW(Versions!$B$2:$B$501)))=0,"",INDEX(Versions!$A$1:$A$501,SUMPRODUCT(MAX((Versions!$B$2:$B$501=A50)*(Versions!$M$2:$M$501="Yes")*ROW(Versions!$B$2:$B$501))))))</f>
        <v/>
      </c>
      <c r="R50" s="46" t="str">
        <f aca="false">IF(A50="","",COUNTIF(Comments!$B$2:$B$2001,A50))</f>
        <v/>
      </c>
      <c r="S50" s="46" t="str">
        <f aca="false">IF(A50="","",COUNTIFS(Comments!$B$2:$B$2001,A50,Comments!$N$2:$N$2001,"Open"))</f>
        <v/>
      </c>
      <c r="T50" s="46" t="str">
        <f aca="false">IF(A50="","",COUNTIFS('Deferred edits'!$C$2:$C$201,A50,'Deferred edits'!$G$2:$G$201,"Waiting"))</f>
        <v/>
      </c>
      <c r="U50" s="46" t="str">
        <f aca="false">IF(A50="","",IF(AND(I50&lt;&gt;"",I50&lt;AsOfDate),"▲ Next date passed",IF(AND(I50&lt;&gt;"",I50&lt;=AsOfDate+7),"● Next date within 7 days",IF(AND(P50&lt;&gt;"",P50&lt;AsOfDate,N50&lt;&gt;"Complete"),"▲ Regulation past target",IF(S50&gt;0,"Open comments","")))))</f>
        <v/>
      </c>
      <c r="V50" s="46"/>
      <c r="W50" s="46"/>
      <c r="X50" s="46"/>
    </row>
    <row r="51" customFormat="false" ht="15" hidden="false" customHeight="false" outlineLevel="0" collapsed="false">
      <c r="A51" s="46"/>
      <c r="B51" s="46"/>
      <c r="C51" s="46"/>
      <c r="D51" s="46"/>
      <c r="E51" s="46"/>
      <c r="F51" s="46"/>
      <c r="G51" s="46"/>
      <c r="H51" s="46"/>
      <c r="I51" s="46"/>
      <c r="J51" s="46"/>
      <c r="K51" s="48" t="str">
        <f aca="false">IF(W51="","",HYPERLINK(W51,"Simbli"))</f>
        <v/>
      </c>
      <c r="L51" s="48" t="str">
        <f aca="false">IF(X51="","",HYPERLINK(X51,"Simbli"))</f>
        <v/>
      </c>
      <c r="M51" s="46"/>
      <c r="N51" s="46"/>
      <c r="O51" s="46"/>
      <c r="P51" s="46" t="str">
        <f aca="false">IF(OR(A51="",O51=""),"",O51+RegDays)</f>
        <v/>
      </c>
      <c r="Q51" s="46" t="str">
        <f aca="false">IF(A51="","",IF(SUMPRODUCT(MAX((Versions!$B$2:$B$501=A51)*(Versions!$M$2:$M$501="Yes")*ROW(Versions!$B$2:$B$501)))=0,"",INDEX(Versions!$A$1:$A$501,SUMPRODUCT(MAX((Versions!$B$2:$B$501=A51)*(Versions!$M$2:$M$501="Yes")*ROW(Versions!$B$2:$B$501))))))</f>
        <v/>
      </c>
      <c r="R51" s="46" t="str">
        <f aca="false">IF(A51="","",COUNTIF(Comments!$B$2:$B$2001,A51))</f>
        <v/>
      </c>
      <c r="S51" s="46" t="str">
        <f aca="false">IF(A51="","",COUNTIFS(Comments!$B$2:$B$2001,A51,Comments!$N$2:$N$2001,"Open"))</f>
        <v/>
      </c>
      <c r="T51" s="46" t="str">
        <f aca="false">IF(A51="","",COUNTIFS('Deferred edits'!$C$2:$C$201,A51,'Deferred edits'!$G$2:$G$201,"Waiting"))</f>
        <v/>
      </c>
      <c r="U51" s="46" t="str">
        <f aca="false">IF(A51="","",IF(AND(I51&lt;&gt;"",I51&lt;AsOfDate),"▲ Next date passed",IF(AND(I51&lt;&gt;"",I51&lt;=AsOfDate+7),"● Next date within 7 days",IF(AND(P51&lt;&gt;"",P51&lt;AsOfDate,N51&lt;&gt;"Complete"),"▲ Regulation past target",IF(S51&gt;0,"Open comments","")))))</f>
        <v/>
      </c>
      <c r="V51" s="46"/>
      <c r="W51" s="46"/>
      <c r="X51" s="46"/>
    </row>
    <row r="52" customFormat="false" ht="15" hidden="false" customHeight="false" outlineLevel="0" collapsed="false">
      <c r="A52" s="46"/>
      <c r="B52" s="46"/>
      <c r="C52" s="46"/>
      <c r="D52" s="46"/>
      <c r="E52" s="46"/>
      <c r="F52" s="46"/>
      <c r="G52" s="46"/>
      <c r="H52" s="46"/>
      <c r="I52" s="46"/>
      <c r="J52" s="46"/>
      <c r="K52" s="48" t="str">
        <f aca="false">IF(W52="","",HYPERLINK(W52,"Simbli"))</f>
        <v/>
      </c>
      <c r="L52" s="48" t="str">
        <f aca="false">IF(X52="","",HYPERLINK(X52,"Simbli"))</f>
        <v/>
      </c>
      <c r="M52" s="46"/>
      <c r="N52" s="46"/>
      <c r="O52" s="46"/>
      <c r="P52" s="46" t="str">
        <f aca="false">IF(OR(A52="",O52=""),"",O52+RegDays)</f>
        <v/>
      </c>
      <c r="Q52" s="46" t="str">
        <f aca="false">IF(A52="","",IF(SUMPRODUCT(MAX((Versions!$B$2:$B$501=A52)*(Versions!$M$2:$M$501="Yes")*ROW(Versions!$B$2:$B$501)))=0,"",INDEX(Versions!$A$1:$A$501,SUMPRODUCT(MAX((Versions!$B$2:$B$501=A52)*(Versions!$M$2:$M$501="Yes")*ROW(Versions!$B$2:$B$501))))))</f>
        <v/>
      </c>
      <c r="R52" s="46" t="str">
        <f aca="false">IF(A52="","",COUNTIF(Comments!$B$2:$B$2001,A52))</f>
        <v/>
      </c>
      <c r="S52" s="46" t="str">
        <f aca="false">IF(A52="","",COUNTIFS(Comments!$B$2:$B$2001,A52,Comments!$N$2:$N$2001,"Open"))</f>
        <v/>
      </c>
      <c r="T52" s="46" t="str">
        <f aca="false">IF(A52="","",COUNTIFS('Deferred edits'!$C$2:$C$201,A52,'Deferred edits'!$G$2:$G$201,"Waiting"))</f>
        <v/>
      </c>
      <c r="U52" s="46" t="str">
        <f aca="false">IF(A52="","",IF(AND(I52&lt;&gt;"",I52&lt;AsOfDate),"▲ Next date passed",IF(AND(I52&lt;&gt;"",I52&lt;=AsOfDate+7),"● Next date within 7 days",IF(AND(P52&lt;&gt;"",P52&lt;AsOfDate,N52&lt;&gt;"Complete"),"▲ Regulation past target",IF(S52&gt;0,"Open comments","")))))</f>
        <v/>
      </c>
      <c r="V52" s="46"/>
      <c r="W52" s="46"/>
      <c r="X52" s="46"/>
    </row>
    <row r="53" customFormat="false" ht="15" hidden="false" customHeight="false" outlineLevel="0" collapsed="false">
      <c r="A53" s="46"/>
      <c r="B53" s="46"/>
      <c r="C53" s="46"/>
      <c r="D53" s="46"/>
      <c r="E53" s="46"/>
      <c r="F53" s="46"/>
      <c r="G53" s="46"/>
      <c r="H53" s="46"/>
      <c r="I53" s="46"/>
      <c r="J53" s="46"/>
      <c r="K53" s="48" t="str">
        <f aca="false">IF(W53="","",HYPERLINK(W53,"Simbli"))</f>
        <v/>
      </c>
      <c r="L53" s="48" t="str">
        <f aca="false">IF(X53="","",HYPERLINK(X53,"Simbli"))</f>
        <v/>
      </c>
      <c r="M53" s="46"/>
      <c r="N53" s="46"/>
      <c r="O53" s="46"/>
      <c r="P53" s="46" t="str">
        <f aca="false">IF(OR(A53="",O53=""),"",O53+RegDays)</f>
        <v/>
      </c>
      <c r="Q53" s="46" t="str">
        <f aca="false">IF(A53="","",IF(SUMPRODUCT(MAX((Versions!$B$2:$B$501=A53)*(Versions!$M$2:$M$501="Yes")*ROW(Versions!$B$2:$B$501)))=0,"",INDEX(Versions!$A$1:$A$501,SUMPRODUCT(MAX((Versions!$B$2:$B$501=A53)*(Versions!$M$2:$M$501="Yes")*ROW(Versions!$B$2:$B$501))))))</f>
        <v/>
      </c>
      <c r="R53" s="46" t="str">
        <f aca="false">IF(A53="","",COUNTIF(Comments!$B$2:$B$2001,A53))</f>
        <v/>
      </c>
      <c r="S53" s="46" t="str">
        <f aca="false">IF(A53="","",COUNTIFS(Comments!$B$2:$B$2001,A53,Comments!$N$2:$N$2001,"Open"))</f>
        <v/>
      </c>
      <c r="T53" s="46" t="str">
        <f aca="false">IF(A53="","",COUNTIFS('Deferred edits'!$C$2:$C$201,A53,'Deferred edits'!$G$2:$G$201,"Waiting"))</f>
        <v/>
      </c>
      <c r="U53" s="46" t="str">
        <f aca="false">IF(A53="","",IF(AND(I53&lt;&gt;"",I53&lt;AsOfDate),"▲ Next date passed",IF(AND(I53&lt;&gt;"",I53&lt;=AsOfDate+7),"● Next date within 7 days",IF(AND(P53&lt;&gt;"",P53&lt;AsOfDate,N53&lt;&gt;"Complete"),"▲ Regulation past target",IF(S53&gt;0,"Open comments","")))))</f>
        <v/>
      </c>
      <c r="V53" s="46"/>
      <c r="W53" s="46"/>
      <c r="X53" s="46"/>
    </row>
    <row r="54" customFormat="false" ht="15" hidden="false" customHeight="false" outlineLevel="0" collapsed="false">
      <c r="A54" s="46"/>
      <c r="B54" s="46"/>
      <c r="C54" s="46"/>
      <c r="D54" s="46"/>
      <c r="E54" s="46"/>
      <c r="F54" s="46"/>
      <c r="G54" s="46"/>
      <c r="H54" s="46"/>
      <c r="I54" s="46"/>
      <c r="J54" s="46"/>
      <c r="K54" s="48" t="str">
        <f aca="false">IF(W54="","",HYPERLINK(W54,"Simbli"))</f>
        <v/>
      </c>
      <c r="L54" s="48" t="str">
        <f aca="false">IF(X54="","",HYPERLINK(X54,"Simbli"))</f>
        <v/>
      </c>
      <c r="M54" s="46"/>
      <c r="N54" s="46"/>
      <c r="O54" s="46"/>
      <c r="P54" s="46" t="str">
        <f aca="false">IF(OR(A54="",O54=""),"",O54+RegDays)</f>
        <v/>
      </c>
      <c r="Q54" s="46" t="str">
        <f aca="false">IF(A54="","",IF(SUMPRODUCT(MAX((Versions!$B$2:$B$501=A54)*(Versions!$M$2:$M$501="Yes")*ROW(Versions!$B$2:$B$501)))=0,"",INDEX(Versions!$A$1:$A$501,SUMPRODUCT(MAX((Versions!$B$2:$B$501=A54)*(Versions!$M$2:$M$501="Yes")*ROW(Versions!$B$2:$B$501))))))</f>
        <v/>
      </c>
      <c r="R54" s="46" t="str">
        <f aca="false">IF(A54="","",COUNTIF(Comments!$B$2:$B$2001,A54))</f>
        <v/>
      </c>
      <c r="S54" s="46" t="str">
        <f aca="false">IF(A54="","",COUNTIFS(Comments!$B$2:$B$2001,A54,Comments!$N$2:$N$2001,"Open"))</f>
        <v/>
      </c>
      <c r="T54" s="46" t="str">
        <f aca="false">IF(A54="","",COUNTIFS('Deferred edits'!$C$2:$C$201,A54,'Deferred edits'!$G$2:$G$201,"Waiting"))</f>
        <v/>
      </c>
      <c r="U54" s="46" t="str">
        <f aca="false">IF(A54="","",IF(AND(I54&lt;&gt;"",I54&lt;AsOfDate),"▲ Next date passed",IF(AND(I54&lt;&gt;"",I54&lt;=AsOfDate+7),"● Next date within 7 days",IF(AND(P54&lt;&gt;"",P54&lt;AsOfDate,N54&lt;&gt;"Complete"),"▲ Regulation past target",IF(S54&gt;0,"Open comments","")))))</f>
        <v/>
      </c>
      <c r="V54" s="46"/>
      <c r="W54" s="46"/>
      <c r="X54" s="46"/>
    </row>
    <row r="55" customFormat="false" ht="15" hidden="false" customHeight="false" outlineLevel="0" collapsed="false">
      <c r="A55" s="46"/>
      <c r="B55" s="46"/>
      <c r="C55" s="46"/>
      <c r="D55" s="46"/>
      <c r="E55" s="46"/>
      <c r="F55" s="46"/>
      <c r="G55" s="46"/>
      <c r="H55" s="46"/>
      <c r="I55" s="46"/>
      <c r="J55" s="46"/>
      <c r="K55" s="48" t="str">
        <f aca="false">IF(W55="","",HYPERLINK(W55,"Simbli"))</f>
        <v/>
      </c>
      <c r="L55" s="48" t="str">
        <f aca="false">IF(X55="","",HYPERLINK(X55,"Simbli"))</f>
        <v/>
      </c>
      <c r="M55" s="46"/>
      <c r="N55" s="46"/>
      <c r="O55" s="46"/>
      <c r="P55" s="46" t="str">
        <f aca="false">IF(OR(A55="",O55=""),"",O55+RegDays)</f>
        <v/>
      </c>
      <c r="Q55" s="46" t="str">
        <f aca="false">IF(A55="","",IF(SUMPRODUCT(MAX((Versions!$B$2:$B$501=A55)*(Versions!$M$2:$M$501="Yes")*ROW(Versions!$B$2:$B$501)))=0,"",INDEX(Versions!$A$1:$A$501,SUMPRODUCT(MAX((Versions!$B$2:$B$501=A55)*(Versions!$M$2:$M$501="Yes")*ROW(Versions!$B$2:$B$501))))))</f>
        <v/>
      </c>
      <c r="R55" s="46" t="str">
        <f aca="false">IF(A55="","",COUNTIF(Comments!$B$2:$B$2001,A55))</f>
        <v/>
      </c>
      <c r="S55" s="46" t="str">
        <f aca="false">IF(A55="","",COUNTIFS(Comments!$B$2:$B$2001,A55,Comments!$N$2:$N$2001,"Open"))</f>
        <v/>
      </c>
      <c r="T55" s="46" t="str">
        <f aca="false">IF(A55="","",COUNTIFS('Deferred edits'!$C$2:$C$201,A55,'Deferred edits'!$G$2:$G$201,"Waiting"))</f>
        <v/>
      </c>
      <c r="U55" s="46" t="str">
        <f aca="false">IF(A55="","",IF(AND(I55&lt;&gt;"",I55&lt;AsOfDate),"▲ Next date passed",IF(AND(I55&lt;&gt;"",I55&lt;=AsOfDate+7),"● Next date within 7 days",IF(AND(P55&lt;&gt;"",P55&lt;AsOfDate,N55&lt;&gt;"Complete"),"▲ Regulation past target",IF(S55&gt;0,"Open comments","")))))</f>
        <v/>
      </c>
      <c r="V55" s="46"/>
      <c r="W55" s="46"/>
      <c r="X55" s="46"/>
    </row>
    <row r="56" customFormat="false" ht="15" hidden="false" customHeight="false" outlineLevel="0" collapsed="false">
      <c r="A56" s="46"/>
      <c r="B56" s="46"/>
      <c r="C56" s="46"/>
      <c r="D56" s="46"/>
      <c r="E56" s="46"/>
      <c r="F56" s="46"/>
      <c r="G56" s="46"/>
      <c r="H56" s="46"/>
      <c r="I56" s="46"/>
      <c r="J56" s="46"/>
      <c r="K56" s="48" t="str">
        <f aca="false">IF(W56="","",HYPERLINK(W56,"Simbli"))</f>
        <v/>
      </c>
      <c r="L56" s="48" t="str">
        <f aca="false">IF(X56="","",HYPERLINK(X56,"Simbli"))</f>
        <v/>
      </c>
      <c r="M56" s="46"/>
      <c r="N56" s="46"/>
      <c r="O56" s="46"/>
      <c r="P56" s="46" t="str">
        <f aca="false">IF(OR(A56="",O56=""),"",O56+RegDays)</f>
        <v/>
      </c>
      <c r="Q56" s="46" t="str">
        <f aca="false">IF(A56="","",IF(SUMPRODUCT(MAX((Versions!$B$2:$B$501=A56)*(Versions!$M$2:$M$501="Yes")*ROW(Versions!$B$2:$B$501)))=0,"",INDEX(Versions!$A$1:$A$501,SUMPRODUCT(MAX((Versions!$B$2:$B$501=A56)*(Versions!$M$2:$M$501="Yes")*ROW(Versions!$B$2:$B$501))))))</f>
        <v/>
      </c>
      <c r="R56" s="46" t="str">
        <f aca="false">IF(A56="","",COUNTIF(Comments!$B$2:$B$2001,A56))</f>
        <v/>
      </c>
      <c r="S56" s="46" t="str">
        <f aca="false">IF(A56="","",COUNTIFS(Comments!$B$2:$B$2001,A56,Comments!$N$2:$N$2001,"Open"))</f>
        <v/>
      </c>
      <c r="T56" s="46" t="str">
        <f aca="false">IF(A56="","",COUNTIFS('Deferred edits'!$C$2:$C$201,A56,'Deferred edits'!$G$2:$G$201,"Waiting"))</f>
        <v/>
      </c>
      <c r="U56" s="46" t="str">
        <f aca="false">IF(A56="","",IF(AND(I56&lt;&gt;"",I56&lt;AsOfDate),"▲ Next date passed",IF(AND(I56&lt;&gt;"",I56&lt;=AsOfDate+7),"● Next date within 7 days",IF(AND(P56&lt;&gt;"",P56&lt;AsOfDate,N56&lt;&gt;"Complete"),"▲ Regulation past target",IF(S56&gt;0,"Open comments","")))))</f>
        <v/>
      </c>
      <c r="V56" s="46"/>
      <c r="W56" s="46"/>
      <c r="X56" s="46"/>
    </row>
    <row r="57" customFormat="false" ht="15" hidden="false" customHeight="false" outlineLevel="0" collapsed="false">
      <c r="A57" s="46"/>
      <c r="B57" s="46"/>
      <c r="C57" s="46"/>
      <c r="D57" s="46"/>
      <c r="E57" s="46"/>
      <c r="F57" s="46"/>
      <c r="G57" s="46"/>
      <c r="H57" s="46"/>
      <c r="I57" s="46"/>
      <c r="J57" s="46"/>
      <c r="K57" s="48" t="str">
        <f aca="false">IF(W57="","",HYPERLINK(W57,"Simbli"))</f>
        <v/>
      </c>
      <c r="L57" s="48" t="str">
        <f aca="false">IF(X57="","",HYPERLINK(X57,"Simbli"))</f>
        <v/>
      </c>
      <c r="M57" s="46"/>
      <c r="N57" s="46"/>
      <c r="O57" s="46"/>
      <c r="P57" s="46" t="str">
        <f aca="false">IF(OR(A57="",O57=""),"",O57+RegDays)</f>
        <v/>
      </c>
      <c r="Q57" s="46" t="str">
        <f aca="false">IF(A57="","",IF(SUMPRODUCT(MAX((Versions!$B$2:$B$501=A57)*(Versions!$M$2:$M$501="Yes")*ROW(Versions!$B$2:$B$501)))=0,"",INDEX(Versions!$A$1:$A$501,SUMPRODUCT(MAX((Versions!$B$2:$B$501=A57)*(Versions!$M$2:$M$501="Yes")*ROW(Versions!$B$2:$B$501))))))</f>
        <v/>
      </c>
      <c r="R57" s="46" t="str">
        <f aca="false">IF(A57="","",COUNTIF(Comments!$B$2:$B$2001,A57))</f>
        <v/>
      </c>
      <c r="S57" s="46" t="str">
        <f aca="false">IF(A57="","",COUNTIFS(Comments!$B$2:$B$2001,A57,Comments!$N$2:$N$2001,"Open"))</f>
        <v/>
      </c>
      <c r="T57" s="46" t="str">
        <f aca="false">IF(A57="","",COUNTIFS('Deferred edits'!$C$2:$C$201,A57,'Deferred edits'!$G$2:$G$201,"Waiting"))</f>
        <v/>
      </c>
      <c r="U57" s="46" t="str">
        <f aca="false">IF(A57="","",IF(AND(I57&lt;&gt;"",I57&lt;AsOfDate),"▲ Next date passed",IF(AND(I57&lt;&gt;"",I57&lt;=AsOfDate+7),"● Next date within 7 days",IF(AND(P57&lt;&gt;"",P57&lt;AsOfDate,N57&lt;&gt;"Complete"),"▲ Regulation past target",IF(S57&gt;0,"Open comments","")))))</f>
        <v/>
      </c>
      <c r="V57" s="46"/>
      <c r="W57" s="46"/>
      <c r="X57" s="46"/>
    </row>
    <row r="58" customFormat="false" ht="15" hidden="false" customHeight="false" outlineLevel="0" collapsed="false">
      <c r="A58" s="46"/>
      <c r="B58" s="46"/>
      <c r="C58" s="46"/>
      <c r="D58" s="46"/>
      <c r="E58" s="46"/>
      <c r="F58" s="46"/>
      <c r="G58" s="46"/>
      <c r="H58" s="46"/>
      <c r="I58" s="46"/>
      <c r="J58" s="46"/>
      <c r="K58" s="48" t="str">
        <f aca="false">IF(W58="","",HYPERLINK(W58,"Simbli"))</f>
        <v/>
      </c>
      <c r="L58" s="48" t="str">
        <f aca="false">IF(X58="","",HYPERLINK(X58,"Simbli"))</f>
        <v/>
      </c>
      <c r="M58" s="46"/>
      <c r="N58" s="46"/>
      <c r="O58" s="46"/>
      <c r="P58" s="46" t="str">
        <f aca="false">IF(OR(A58="",O58=""),"",O58+RegDays)</f>
        <v/>
      </c>
      <c r="Q58" s="46" t="str">
        <f aca="false">IF(A58="","",IF(SUMPRODUCT(MAX((Versions!$B$2:$B$501=A58)*(Versions!$M$2:$M$501="Yes")*ROW(Versions!$B$2:$B$501)))=0,"",INDEX(Versions!$A$1:$A$501,SUMPRODUCT(MAX((Versions!$B$2:$B$501=A58)*(Versions!$M$2:$M$501="Yes")*ROW(Versions!$B$2:$B$501))))))</f>
        <v/>
      </c>
      <c r="R58" s="46" t="str">
        <f aca="false">IF(A58="","",COUNTIF(Comments!$B$2:$B$2001,A58))</f>
        <v/>
      </c>
      <c r="S58" s="46" t="str">
        <f aca="false">IF(A58="","",COUNTIFS(Comments!$B$2:$B$2001,A58,Comments!$N$2:$N$2001,"Open"))</f>
        <v/>
      </c>
      <c r="T58" s="46" t="str">
        <f aca="false">IF(A58="","",COUNTIFS('Deferred edits'!$C$2:$C$201,A58,'Deferred edits'!$G$2:$G$201,"Waiting"))</f>
        <v/>
      </c>
      <c r="U58" s="46" t="str">
        <f aca="false">IF(A58="","",IF(AND(I58&lt;&gt;"",I58&lt;AsOfDate),"▲ Next date passed",IF(AND(I58&lt;&gt;"",I58&lt;=AsOfDate+7),"● Next date within 7 days",IF(AND(P58&lt;&gt;"",P58&lt;AsOfDate,N58&lt;&gt;"Complete"),"▲ Regulation past target",IF(S58&gt;0,"Open comments","")))))</f>
        <v/>
      </c>
      <c r="V58" s="46"/>
      <c r="W58" s="46"/>
      <c r="X58" s="46"/>
    </row>
    <row r="59" customFormat="false" ht="15" hidden="false" customHeight="false" outlineLevel="0" collapsed="false">
      <c r="A59" s="46"/>
      <c r="B59" s="46"/>
      <c r="C59" s="46"/>
      <c r="D59" s="46"/>
      <c r="E59" s="46"/>
      <c r="F59" s="46"/>
      <c r="G59" s="46"/>
      <c r="H59" s="46"/>
      <c r="I59" s="46"/>
      <c r="J59" s="46"/>
      <c r="K59" s="48" t="str">
        <f aca="false">IF(W59="","",HYPERLINK(W59,"Simbli"))</f>
        <v/>
      </c>
      <c r="L59" s="48" t="str">
        <f aca="false">IF(X59="","",HYPERLINK(X59,"Simbli"))</f>
        <v/>
      </c>
      <c r="M59" s="46"/>
      <c r="N59" s="46"/>
      <c r="O59" s="46"/>
      <c r="P59" s="46" t="str">
        <f aca="false">IF(OR(A59="",O59=""),"",O59+RegDays)</f>
        <v/>
      </c>
      <c r="Q59" s="46" t="str">
        <f aca="false">IF(A59="","",IF(SUMPRODUCT(MAX((Versions!$B$2:$B$501=A59)*(Versions!$M$2:$M$501="Yes")*ROW(Versions!$B$2:$B$501)))=0,"",INDEX(Versions!$A$1:$A$501,SUMPRODUCT(MAX((Versions!$B$2:$B$501=A59)*(Versions!$M$2:$M$501="Yes")*ROW(Versions!$B$2:$B$501))))))</f>
        <v/>
      </c>
      <c r="R59" s="46" t="str">
        <f aca="false">IF(A59="","",COUNTIF(Comments!$B$2:$B$2001,A59))</f>
        <v/>
      </c>
      <c r="S59" s="46" t="str">
        <f aca="false">IF(A59="","",COUNTIFS(Comments!$B$2:$B$2001,A59,Comments!$N$2:$N$2001,"Open"))</f>
        <v/>
      </c>
      <c r="T59" s="46" t="str">
        <f aca="false">IF(A59="","",COUNTIFS('Deferred edits'!$C$2:$C$201,A59,'Deferred edits'!$G$2:$G$201,"Waiting"))</f>
        <v/>
      </c>
      <c r="U59" s="46" t="str">
        <f aca="false">IF(A59="","",IF(AND(I59&lt;&gt;"",I59&lt;AsOfDate),"▲ Next date passed",IF(AND(I59&lt;&gt;"",I59&lt;=AsOfDate+7),"● Next date within 7 days",IF(AND(P59&lt;&gt;"",P59&lt;AsOfDate,N59&lt;&gt;"Complete"),"▲ Regulation past target",IF(S59&gt;0,"Open comments","")))))</f>
        <v/>
      </c>
      <c r="V59" s="46"/>
      <c r="W59" s="46"/>
      <c r="X59" s="46"/>
    </row>
    <row r="60" customFormat="false" ht="15" hidden="false" customHeight="false" outlineLevel="0" collapsed="false">
      <c r="A60" s="46"/>
      <c r="B60" s="46"/>
      <c r="C60" s="46"/>
      <c r="D60" s="46"/>
      <c r="E60" s="46"/>
      <c r="F60" s="46"/>
      <c r="G60" s="46"/>
      <c r="H60" s="46"/>
      <c r="I60" s="46"/>
      <c r="J60" s="46"/>
      <c r="K60" s="48" t="str">
        <f aca="false">IF(W60="","",HYPERLINK(W60,"Simbli"))</f>
        <v/>
      </c>
      <c r="L60" s="48" t="str">
        <f aca="false">IF(X60="","",HYPERLINK(X60,"Simbli"))</f>
        <v/>
      </c>
      <c r="M60" s="46"/>
      <c r="N60" s="46"/>
      <c r="O60" s="46"/>
      <c r="P60" s="46" t="str">
        <f aca="false">IF(OR(A60="",O60=""),"",O60+RegDays)</f>
        <v/>
      </c>
      <c r="Q60" s="46" t="str">
        <f aca="false">IF(A60="","",IF(SUMPRODUCT(MAX((Versions!$B$2:$B$501=A60)*(Versions!$M$2:$M$501="Yes")*ROW(Versions!$B$2:$B$501)))=0,"",INDEX(Versions!$A$1:$A$501,SUMPRODUCT(MAX((Versions!$B$2:$B$501=A60)*(Versions!$M$2:$M$501="Yes")*ROW(Versions!$B$2:$B$501))))))</f>
        <v/>
      </c>
      <c r="R60" s="46" t="str">
        <f aca="false">IF(A60="","",COUNTIF(Comments!$B$2:$B$2001,A60))</f>
        <v/>
      </c>
      <c r="S60" s="46" t="str">
        <f aca="false">IF(A60="","",COUNTIFS(Comments!$B$2:$B$2001,A60,Comments!$N$2:$N$2001,"Open"))</f>
        <v/>
      </c>
      <c r="T60" s="46" t="str">
        <f aca="false">IF(A60="","",COUNTIFS('Deferred edits'!$C$2:$C$201,A60,'Deferred edits'!$G$2:$G$201,"Waiting"))</f>
        <v/>
      </c>
      <c r="U60" s="46" t="str">
        <f aca="false">IF(A60="","",IF(AND(I60&lt;&gt;"",I60&lt;AsOfDate),"▲ Next date passed",IF(AND(I60&lt;&gt;"",I60&lt;=AsOfDate+7),"● Next date within 7 days",IF(AND(P60&lt;&gt;"",P60&lt;AsOfDate,N60&lt;&gt;"Complete"),"▲ Regulation past target",IF(S60&gt;0,"Open comments","")))))</f>
        <v/>
      </c>
      <c r="V60" s="46"/>
      <c r="W60" s="46"/>
      <c r="X60" s="46"/>
    </row>
    <row r="61" customFormat="false" ht="15" hidden="false" customHeight="false" outlineLevel="0" collapsed="false">
      <c r="A61" s="46"/>
      <c r="B61" s="46"/>
      <c r="C61" s="46"/>
      <c r="D61" s="46"/>
      <c r="E61" s="46"/>
      <c r="F61" s="46"/>
      <c r="G61" s="46"/>
      <c r="H61" s="46"/>
      <c r="I61" s="46"/>
      <c r="J61" s="46"/>
      <c r="K61" s="48" t="str">
        <f aca="false">IF(W61="","",HYPERLINK(W61,"Simbli"))</f>
        <v/>
      </c>
      <c r="L61" s="48" t="str">
        <f aca="false">IF(X61="","",HYPERLINK(X61,"Simbli"))</f>
        <v/>
      </c>
      <c r="M61" s="46"/>
      <c r="N61" s="46"/>
      <c r="O61" s="46"/>
      <c r="P61" s="46" t="str">
        <f aca="false">IF(OR(A61="",O61=""),"",O61+RegDays)</f>
        <v/>
      </c>
      <c r="Q61" s="46" t="str">
        <f aca="false">IF(A61="","",IF(SUMPRODUCT(MAX((Versions!$B$2:$B$501=A61)*(Versions!$M$2:$M$501="Yes")*ROW(Versions!$B$2:$B$501)))=0,"",INDEX(Versions!$A$1:$A$501,SUMPRODUCT(MAX((Versions!$B$2:$B$501=A61)*(Versions!$M$2:$M$501="Yes")*ROW(Versions!$B$2:$B$501))))))</f>
        <v/>
      </c>
      <c r="R61" s="46" t="str">
        <f aca="false">IF(A61="","",COUNTIF(Comments!$B$2:$B$2001,A61))</f>
        <v/>
      </c>
      <c r="S61" s="46" t="str">
        <f aca="false">IF(A61="","",COUNTIFS(Comments!$B$2:$B$2001,A61,Comments!$N$2:$N$2001,"Open"))</f>
        <v/>
      </c>
      <c r="T61" s="46" t="str">
        <f aca="false">IF(A61="","",COUNTIFS('Deferred edits'!$C$2:$C$201,A61,'Deferred edits'!$G$2:$G$201,"Waiting"))</f>
        <v/>
      </c>
      <c r="U61" s="46" t="str">
        <f aca="false">IF(A61="","",IF(AND(I61&lt;&gt;"",I61&lt;AsOfDate),"▲ Next date passed",IF(AND(I61&lt;&gt;"",I61&lt;=AsOfDate+7),"● Next date within 7 days",IF(AND(P61&lt;&gt;"",P61&lt;AsOfDate,N61&lt;&gt;"Complete"),"▲ Regulation past target",IF(S61&gt;0,"Open comments","")))))</f>
        <v/>
      </c>
      <c r="V61" s="46"/>
      <c r="W61" s="46"/>
      <c r="X61" s="46"/>
    </row>
    <row r="62" customFormat="false" ht="15" hidden="false" customHeight="false" outlineLevel="0" collapsed="false">
      <c r="A62" s="46"/>
      <c r="B62" s="46"/>
      <c r="C62" s="46"/>
      <c r="D62" s="46"/>
      <c r="E62" s="46"/>
      <c r="F62" s="46"/>
      <c r="G62" s="46"/>
      <c r="H62" s="46"/>
      <c r="I62" s="46"/>
      <c r="J62" s="46"/>
      <c r="K62" s="48" t="str">
        <f aca="false">IF(W62="","",HYPERLINK(W62,"Simbli"))</f>
        <v/>
      </c>
      <c r="L62" s="48" t="str">
        <f aca="false">IF(X62="","",HYPERLINK(X62,"Simbli"))</f>
        <v/>
      </c>
      <c r="M62" s="46"/>
      <c r="N62" s="46"/>
      <c r="O62" s="46"/>
      <c r="P62" s="46" t="str">
        <f aca="false">IF(OR(A62="",O62=""),"",O62+RegDays)</f>
        <v/>
      </c>
      <c r="Q62" s="46" t="str">
        <f aca="false">IF(A62="","",IF(SUMPRODUCT(MAX((Versions!$B$2:$B$501=A62)*(Versions!$M$2:$M$501="Yes")*ROW(Versions!$B$2:$B$501)))=0,"",INDEX(Versions!$A$1:$A$501,SUMPRODUCT(MAX((Versions!$B$2:$B$501=A62)*(Versions!$M$2:$M$501="Yes")*ROW(Versions!$B$2:$B$501))))))</f>
        <v/>
      </c>
      <c r="R62" s="46" t="str">
        <f aca="false">IF(A62="","",COUNTIF(Comments!$B$2:$B$2001,A62))</f>
        <v/>
      </c>
      <c r="S62" s="46" t="str">
        <f aca="false">IF(A62="","",COUNTIFS(Comments!$B$2:$B$2001,A62,Comments!$N$2:$N$2001,"Open"))</f>
        <v/>
      </c>
      <c r="T62" s="46" t="str">
        <f aca="false">IF(A62="","",COUNTIFS('Deferred edits'!$C$2:$C$201,A62,'Deferred edits'!$G$2:$G$201,"Waiting"))</f>
        <v/>
      </c>
      <c r="U62" s="46" t="str">
        <f aca="false">IF(A62="","",IF(AND(I62&lt;&gt;"",I62&lt;AsOfDate),"▲ Next date passed",IF(AND(I62&lt;&gt;"",I62&lt;=AsOfDate+7),"● Next date within 7 days",IF(AND(P62&lt;&gt;"",P62&lt;AsOfDate,N62&lt;&gt;"Complete"),"▲ Regulation past target",IF(S62&gt;0,"Open comments","")))))</f>
        <v/>
      </c>
      <c r="V62" s="46"/>
      <c r="W62" s="46"/>
      <c r="X62" s="46"/>
    </row>
    <row r="63" customFormat="false" ht="15" hidden="false" customHeight="false" outlineLevel="0" collapsed="false">
      <c r="A63" s="46"/>
      <c r="B63" s="46"/>
      <c r="C63" s="46"/>
      <c r="D63" s="46"/>
      <c r="E63" s="46"/>
      <c r="F63" s="46"/>
      <c r="G63" s="46"/>
      <c r="H63" s="46"/>
      <c r="I63" s="46"/>
      <c r="J63" s="46"/>
      <c r="K63" s="48" t="str">
        <f aca="false">IF(W63="","",HYPERLINK(W63,"Simbli"))</f>
        <v/>
      </c>
      <c r="L63" s="48" t="str">
        <f aca="false">IF(X63="","",HYPERLINK(X63,"Simbli"))</f>
        <v/>
      </c>
      <c r="M63" s="46"/>
      <c r="N63" s="46"/>
      <c r="O63" s="46"/>
      <c r="P63" s="46" t="str">
        <f aca="false">IF(OR(A63="",O63=""),"",O63+RegDays)</f>
        <v/>
      </c>
      <c r="Q63" s="46" t="str">
        <f aca="false">IF(A63="","",IF(SUMPRODUCT(MAX((Versions!$B$2:$B$501=A63)*(Versions!$M$2:$M$501="Yes")*ROW(Versions!$B$2:$B$501)))=0,"",INDEX(Versions!$A$1:$A$501,SUMPRODUCT(MAX((Versions!$B$2:$B$501=A63)*(Versions!$M$2:$M$501="Yes")*ROW(Versions!$B$2:$B$501))))))</f>
        <v/>
      </c>
      <c r="R63" s="46" t="str">
        <f aca="false">IF(A63="","",COUNTIF(Comments!$B$2:$B$2001,A63))</f>
        <v/>
      </c>
      <c r="S63" s="46" t="str">
        <f aca="false">IF(A63="","",COUNTIFS(Comments!$B$2:$B$2001,A63,Comments!$N$2:$N$2001,"Open"))</f>
        <v/>
      </c>
      <c r="T63" s="46" t="str">
        <f aca="false">IF(A63="","",COUNTIFS('Deferred edits'!$C$2:$C$201,A63,'Deferred edits'!$G$2:$G$201,"Waiting"))</f>
        <v/>
      </c>
      <c r="U63" s="46" t="str">
        <f aca="false">IF(A63="","",IF(AND(I63&lt;&gt;"",I63&lt;AsOfDate),"▲ Next date passed",IF(AND(I63&lt;&gt;"",I63&lt;=AsOfDate+7),"● Next date within 7 days",IF(AND(P63&lt;&gt;"",P63&lt;AsOfDate,N63&lt;&gt;"Complete"),"▲ Regulation past target",IF(S63&gt;0,"Open comments","")))))</f>
        <v/>
      </c>
      <c r="V63" s="46"/>
      <c r="W63" s="46"/>
      <c r="X63" s="46"/>
    </row>
    <row r="64" customFormat="false" ht="15" hidden="false" customHeight="false" outlineLevel="0" collapsed="false">
      <c r="A64" s="46"/>
      <c r="B64" s="46"/>
      <c r="C64" s="46"/>
      <c r="D64" s="46"/>
      <c r="E64" s="46"/>
      <c r="F64" s="46"/>
      <c r="G64" s="46"/>
      <c r="H64" s="46"/>
      <c r="I64" s="46"/>
      <c r="J64" s="46"/>
      <c r="K64" s="48" t="str">
        <f aca="false">IF(W64="","",HYPERLINK(W64,"Simbli"))</f>
        <v/>
      </c>
      <c r="L64" s="48" t="str">
        <f aca="false">IF(X64="","",HYPERLINK(X64,"Simbli"))</f>
        <v/>
      </c>
      <c r="M64" s="46"/>
      <c r="N64" s="46"/>
      <c r="O64" s="46"/>
      <c r="P64" s="46" t="str">
        <f aca="false">IF(OR(A64="",O64=""),"",O64+RegDays)</f>
        <v/>
      </c>
      <c r="Q64" s="46" t="str">
        <f aca="false">IF(A64="","",IF(SUMPRODUCT(MAX((Versions!$B$2:$B$501=A64)*(Versions!$M$2:$M$501="Yes")*ROW(Versions!$B$2:$B$501)))=0,"",INDEX(Versions!$A$1:$A$501,SUMPRODUCT(MAX((Versions!$B$2:$B$501=A64)*(Versions!$M$2:$M$501="Yes")*ROW(Versions!$B$2:$B$501))))))</f>
        <v/>
      </c>
      <c r="R64" s="46" t="str">
        <f aca="false">IF(A64="","",COUNTIF(Comments!$B$2:$B$2001,A64))</f>
        <v/>
      </c>
      <c r="S64" s="46" t="str">
        <f aca="false">IF(A64="","",COUNTIFS(Comments!$B$2:$B$2001,A64,Comments!$N$2:$N$2001,"Open"))</f>
        <v/>
      </c>
      <c r="T64" s="46" t="str">
        <f aca="false">IF(A64="","",COUNTIFS('Deferred edits'!$C$2:$C$201,A64,'Deferred edits'!$G$2:$G$201,"Waiting"))</f>
        <v/>
      </c>
      <c r="U64" s="46" t="str">
        <f aca="false">IF(A64="","",IF(AND(I64&lt;&gt;"",I64&lt;AsOfDate),"▲ Next date passed",IF(AND(I64&lt;&gt;"",I64&lt;=AsOfDate+7),"● Next date within 7 days",IF(AND(P64&lt;&gt;"",P64&lt;AsOfDate,N64&lt;&gt;"Complete"),"▲ Regulation past target",IF(S64&gt;0,"Open comments","")))))</f>
        <v/>
      </c>
      <c r="V64" s="46"/>
      <c r="W64" s="46"/>
      <c r="X64" s="46"/>
    </row>
    <row r="65" customFormat="false" ht="15" hidden="false" customHeight="false" outlineLevel="0" collapsed="false">
      <c r="A65" s="46"/>
      <c r="B65" s="46"/>
      <c r="C65" s="46"/>
      <c r="D65" s="46"/>
      <c r="E65" s="46"/>
      <c r="F65" s="46"/>
      <c r="G65" s="46"/>
      <c r="H65" s="46"/>
      <c r="I65" s="46"/>
      <c r="J65" s="46"/>
      <c r="K65" s="48" t="str">
        <f aca="false">IF(W65="","",HYPERLINK(W65,"Simbli"))</f>
        <v/>
      </c>
      <c r="L65" s="48" t="str">
        <f aca="false">IF(X65="","",HYPERLINK(X65,"Simbli"))</f>
        <v/>
      </c>
      <c r="M65" s="46"/>
      <c r="N65" s="46"/>
      <c r="O65" s="46"/>
      <c r="P65" s="46" t="str">
        <f aca="false">IF(OR(A65="",O65=""),"",O65+RegDays)</f>
        <v/>
      </c>
      <c r="Q65" s="46" t="str">
        <f aca="false">IF(A65="","",IF(SUMPRODUCT(MAX((Versions!$B$2:$B$501=A65)*(Versions!$M$2:$M$501="Yes")*ROW(Versions!$B$2:$B$501)))=0,"",INDEX(Versions!$A$1:$A$501,SUMPRODUCT(MAX((Versions!$B$2:$B$501=A65)*(Versions!$M$2:$M$501="Yes")*ROW(Versions!$B$2:$B$501))))))</f>
        <v/>
      </c>
      <c r="R65" s="46" t="str">
        <f aca="false">IF(A65="","",COUNTIF(Comments!$B$2:$B$2001,A65))</f>
        <v/>
      </c>
      <c r="S65" s="46" t="str">
        <f aca="false">IF(A65="","",COUNTIFS(Comments!$B$2:$B$2001,A65,Comments!$N$2:$N$2001,"Open"))</f>
        <v/>
      </c>
      <c r="T65" s="46" t="str">
        <f aca="false">IF(A65="","",COUNTIFS('Deferred edits'!$C$2:$C$201,A65,'Deferred edits'!$G$2:$G$201,"Waiting"))</f>
        <v/>
      </c>
      <c r="U65" s="46" t="str">
        <f aca="false">IF(A65="","",IF(AND(I65&lt;&gt;"",I65&lt;AsOfDate),"▲ Next date passed",IF(AND(I65&lt;&gt;"",I65&lt;=AsOfDate+7),"● Next date within 7 days",IF(AND(P65&lt;&gt;"",P65&lt;AsOfDate,N65&lt;&gt;"Complete"),"▲ Regulation past target",IF(S65&gt;0,"Open comments","")))))</f>
        <v/>
      </c>
      <c r="V65" s="46"/>
      <c r="W65" s="46"/>
      <c r="X65" s="46"/>
    </row>
    <row r="66" customFormat="false" ht="15" hidden="false" customHeight="false" outlineLevel="0" collapsed="false">
      <c r="A66" s="46"/>
      <c r="B66" s="46"/>
      <c r="C66" s="46"/>
      <c r="D66" s="46"/>
      <c r="E66" s="46"/>
      <c r="F66" s="46"/>
      <c r="G66" s="46"/>
      <c r="H66" s="46"/>
      <c r="I66" s="46"/>
      <c r="J66" s="46"/>
      <c r="K66" s="48" t="str">
        <f aca="false">IF(W66="","",HYPERLINK(W66,"Simbli"))</f>
        <v/>
      </c>
      <c r="L66" s="48" t="str">
        <f aca="false">IF(X66="","",HYPERLINK(X66,"Simbli"))</f>
        <v/>
      </c>
      <c r="M66" s="46"/>
      <c r="N66" s="46"/>
      <c r="O66" s="46"/>
      <c r="P66" s="46" t="str">
        <f aca="false">IF(OR(A66="",O66=""),"",O66+RegDays)</f>
        <v/>
      </c>
      <c r="Q66" s="46" t="str">
        <f aca="false">IF(A66="","",IF(SUMPRODUCT(MAX((Versions!$B$2:$B$501=A66)*(Versions!$M$2:$M$501="Yes")*ROW(Versions!$B$2:$B$501)))=0,"",INDEX(Versions!$A$1:$A$501,SUMPRODUCT(MAX((Versions!$B$2:$B$501=A66)*(Versions!$M$2:$M$501="Yes")*ROW(Versions!$B$2:$B$501))))))</f>
        <v/>
      </c>
      <c r="R66" s="46" t="str">
        <f aca="false">IF(A66="","",COUNTIF(Comments!$B$2:$B$2001,A66))</f>
        <v/>
      </c>
      <c r="S66" s="46" t="str">
        <f aca="false">IF(A66="","",COUNTIFS(Comments!$B$2:$B$2001,A66,Comments!$N$2:$N$2001,"Open"))</f>
        <v/>
      </c>
      <c r="T66" s="46" t="str">
        <f aca="false">IF(A66="","",COUNTIFS('Deferred edits'!$C$2:$C$201,A66,'Deferred edits'!$G$2:$G$201,"Waiting"))</f>
        <v/>
      </c>
      <c r="U66" s="46" t="str">
        <f aca="false">IF(A66="","",IF(AND(I66&lt;&gt;"",I66&lt;AsOfDate),"▲ Next date passed",IF(AND(I66&lt;&gt;"",I66&lt;=AsOfDate+7),"● Next date within 7 days",IF(AND(P66&lt;&gt;"",P66&lt;AsOfDate,N66&lt;&gt;"Complete"),"▲ Regulation past target",IF(S66&gt;0,"Open comments","")))))</f>
        <v/>
      </c>
      <c r="V66" s="46"/>
      <c r="W66" s="46"/>
      <c r="X66" s="46"/>
    </row>
    <row r="67" customFormat="false" ht="15" hidden="false" customHeight="false" outlineLevel="0" collapsed="false">
      <c r="A67" s="46"/>
      <c r="B67" s="46"/>
      <c r="C67" s="46"/>
      <c r="D67" s="46"/>
      <c r="E67" s="46"/>
      <c r="F67" s="46"/>
      <c r="G67" s="46"/>
      <c r="H67" s="46"/>
      <c r="I67" s="46"/>
      <c r="J67" s="46"/>
      <c r="K67" s="48" t="str">
        <f aca="false">IF(W67="","",HYPERLINK(W67,"Simbli"))</f>
        <v/>
      </c>
      <c r="L67" s="48" t="str">
        <f aca="false">IF(X67="","",HYPERLINK(X67,"Simbli"))</f>
        <v/>
      </c>
      <c r="M67" s="46"/>
      <c r="N67" s="46"/>
      <c r="O67" s="46"/>
      <c r="P67" s="46" t="str">
        <f aca="false">IF(OR(A67="",O67=""),"",O67+RegDays)</f>
        <v/>
      </c>
      <c r="Q67" s="46" t="str">
        <f aca="false">IF(A67="","",IF(SUMPRODUCT(MAX((Versions!$B$2:$B$501=A67)*(Versions!$M$2:$M$501="Yes")*ROW(Versions!$B$2:$B$501)))=0,"",INDEX(Versions!$A$1:$A$501,SUMPRODUCT(MAX((Versions!$B$2:$B$501=A67)*(Versions!$M$2:$M$501="Yes")*ROW(Versions!$B$2:$B$501))))))</f>
        <v/>
      </c>
      <c r="R67" s="46" t="str">
        <f aca="false">IF(A67="","",COUNTIF(Comments!$B$2:$B$2001,A67))</f>
        <v/>
      </c>
      <c r="S67" s="46" t="str">
        <f aca="false">IF(A67="","",COUNTIFS(Comments!$B$2:$B$2001,A67,Comments!$N$2:$N$2001,"Open"))</f>
        <v/>
      </c>
      <c r="T67" s="46" t="str">
        <f aca="false">IF(A67="","",COUNTIFS('Deferred edits'!$C$2:$C$201,A67,'Deferred edits'!$G$2:$G$201,"Waiting"))</f>
        <v/>
      </c>
      <c r="U67" s="46" t="str">
        <f aca="false">IF(A67="","",IF(AND(I67&lt;&gt;"",I67&lt;AsOfDate),"▲ Next date passed",IF(AND(I67&lt;&gt;"",I67&lt;=AsOfDate+7),"● Next date within 7 days",IF(AND(P67&lt;&gt;"",P67&lt;AsOfDate,N67&lt;&gt;"Complete"),"▲ Regulation past target",IF(S67&gt;0,"Open comments","")))))</f>
        <v/>
      </c>
      <c r="V67" s="46"/>
      <c r="W67" s="46"/>
      <c r="X67" s="46"/>
    </row>
    <row r="68" customFormat="false" ht="15" hidden="false" customHeight="false" outlineLevel="0" collapsed="false">
      <c r="A68" s="46"/>
      <c r="B68" s="46"/>
      <c r="C68" s="46"/>
      <c r="D68" s="46"/>
      <c r="E68" s="46"/>
      <c r="F68" s="46"/>
      <c r="G68" s="46"/>
      <c r="H68" s="46"/>
      <c r="I68" s="46"/>
      <c r="J68" s="46"/>
      <c r="K68" s="48" t="str">
        <f aca="false">IF(W68="","",HYPERLINK(W68,"Simbli"))</f>
        <v/>
      </c>
      <c r="L68" s="48" t="str">
        <f aca="false">IF(X68="","",HYPERLINK(X68,"Simbli"))</f>
        <v/>
      </c>
      <c r="M68" s="46"/>
      <c r="N68" s="46"/>
      <c r="O68" s="46"/>
      <c r="P68" s="46" t="str">
        <f aca="false">IF(OR(A68="",O68=""),"",O68+RegDays)</f>
        <v/>
      </c>
      <c r="Q68" s="46" t="str">
        <f aca="false">IF(A68="","",IF(SUMPRODUCT(MAX((Versions!$B$2:$B$501=A68)*(Versions!$M$2:$M$501="Yes")*ROW(Versions!$B$2:$B$501)))=0,"",INDEX(Versions!$A$1:$A$501,SUMPRODUCT(MAX((Versions!$B$2:$B$501=A68)*(Versions!$M$2:$M$501="Yes")*ROW(Versions!$B$2:$B$501))))))</f>
        <v/>
      </c>
      <c r="R68" s="46" t="str">
        <f aca="false">IF(A68="","",COUNTIF(Comments!$B$2:$B$2001,A68))</f>
        <v/>
      </c>
      <c r="S68" s="46" t="str">
        <f aca="false">IF(A68="","",COUNTIFS(Comments!$B$2:$B$2001,A68,Comments!$N$2:$N$2001,"Open"))</f>
        <v/>
      </c>
      <c r="T68" s="46" t="str">
        <f aca="false">IF(A68="","",COUNTIFS('Deferred edits'!$C$2:$C$201,A68,'Deferred edits'!$G$2:$G$201,"Waiting"))</f>
        <v/>
      </c>
      <c r="U68" s="46" t="str">
        <f aca="false">IF(A68="","",IF(AND(I68&lt;&gt;"",I68&lt;AsOfDate),"▲ Next date passed",IF(AND(I68&lt;&gt;"",I68&lt;=AsOfDate+7),"● Next date within 7 days",IF(AND(P68&lt;&gt;"",P68&lt;AsOfDate,N68&lt;&gt;"Complete"),"▲ Regulation past target",IF(S68&gt;0,"Open comments","")))))</f>
        <v/>
      </c>
      <c r="V68" s="46"/>
      <c r="W68" s="46"/>
      <c r="X68" s="46"/>
    </row>
    <row r="69" customFormat="false" ht="15" hidden="false" customHeight="false" outlineLevel="0" collapsed="false">
      <c r="A69" s="46"/>
      <c r="B69" s="46"/>
      <c r="C69" s="46"/>
      <c r="D69" s="46"/>
      <c r="E69" s="46"/>
      <c r="F69" s="46"/>
      <c r="G69" s="46"/>
      <c r="H69" s="46"/>
      <c r="I69" s="46"/>
      <c r="J69" s="46"/>
      <c r="K69" s="48" t="str">
        <f aca="false">IF(W69="","",HYPERLINK(W69,"Simbli"))</f>
        <v/>
      </c>
      <c r="L69" s="48" t="str">
        <f aca="false">IF(X69="","",HYPERLINK(X69,"Simbli"))</f>
        <v/>
      </c>
      <c r="M69" s="46"/>
      <c r="N69" s="46"/>
      <c r="O69" s="46"/>
      <c r="P69" s="46" t="str">
        <f aca="false">IF(OR(A69="",O69=""),"",O69+RegDays)</f>
        <v/>
      </c>
      <c r="Q69" s="46" t="str">
        <f aca="false">IF(A69="","",IF(SUMPRODUCT(MAX((Versions!$B$2:$B$501=A69)*(Versions!$M$2:$M$501="Yes")*ROW(Versions!$B$2:$B$501)))=0,"",INDEX(Versions!$A$1:$A$501,SUMPRODUCT(MAX((Versions!$B$2:$B$501=A69)*(Versions!$M$2:$M$501="Yes")*ROW(Versions!$B$2:$B$501))))))</f>
        <v/>
      </c>
      <c r="R69" s="46" t="str">
        <f aca="false">IF(A69="","",COUNTIF(Comments!$B$2:$B$2001,A69))</f>
        <v/>
      </c>
      <c r="S69" s="46" t="str">
        <f aca="false">IF(A69="","",COUNTIFS(Comments!$B$2:$B$2001,A69,Comments!$N$2:$N$2001,"Open"))</f>
        <v/>
      </c>
      <c r="T69" s="46" t="str">
        <f aca="false">IF(A69="","",COUNTIFS('Deferred edits'!$C$2:$C$201,A69,'Deferred edits'!$G$2:$G$201,"Waiting"))</f>
        <v/>
      </c>
      <c r="U69" s="46" t="str">
        <f aca="false">IF(A69="","",IF(AND(I69&lt;&gt;"",I69&lt;AsOfDate),"▲ Next date passed",IF(AND(I69&lt;&gt;"",I69&lt;=AsOfDate+7),"● Next date within 7 days",IF(AND(P69&lt;&gt;"",P69&lt;AsOfDate,N69&lt;&gt;"Complete"),"▲ Regulation past target",IF(S69&gt;0,"Open comments","")))))</f>
        <v/>
      </c>
      <c r="V69" s="46"/>
      <c r="W69" s="46"/>
      <c r="X69" s="46"/>
    </row>
    <row r="70" customFormat="false" ht="15" hidden="false" customHeight="false" outlineLevel="0" collapsed="false">
      <c r="A70" s="46"/>
      <c r="B70" s="46"/>
      <c r="C70" s="46"/>
      <c r="D70" s="46"/>
      <c r="E70" s="46"/>
      <c r="F70" s="46"/>
      <c r="G70" s="46"/>
      <c r="H70" s="46"/>
      <c r="I70" s="46"/>
      <c r="J70" s="46"/>
      <c r="K70" s="48" t="str">
        <f aca="false">IF(W70="","",HYPERLINK(W70,"Simbli"))</f>
        <v/>
      </c>
      <c r="L70" s="48" t="str">
        <f aca="false">IF(X70="","",HYPERLINK(X70,"Simbli"))</f>
        <v/>
      </c>
      <c r="M70" s="46"/>
      <c r="N70" s="46"/>
      <c r="O70" s="46"/>
      <c r="P70" s="46" t="str">
        <f aca="false">IF(OR(A70="",O70=""),"",O70+RegDays)</f>
        <v/>
      </c>
      <c r="Q70" s="46" t="str">
        <f aca="false">IF(A70="","",IF(SUMPRODUCT(MAX((Versions!$B$2:$B$501=A70)*(Versions!$M$2:$M$501="Yes")*ROW(Versions!$B$2:$B$501)))=0,"",INDEX(Versions!$A$1:$A$501,SUMPRODUCT(MAX((Versions!$B$2:$B$501=A70)*(Versions!$M$2:$M$501="Yes")*ROW(Versions!$B$2:$B$501))))))</f>
        <v/>
      </c>
      <c r="R70" s="46" t="str">
        <f aca="false">IF(A70="","",COUNTIF(Comments!$B$2:$B$2001,A70))</f>
        <v/>
      </c>
      <c r="S70" s="46" t="str">
        <f aca="false">IF(A70="","",COUNTIFS(Comments!$B$2:$B$2001,A70,Comments!$N$2:$N$2001,"Open"))</f>
        <v/>
      </c>
      <c r="T70" s="46" t="str">
        <f aca="false">IF(A70="","",COUNTIFS('Deferred edits'!$C$2:$C$201,A70,'Deferred edits'!$G$2:$G$201,"Waiting"))</f>
        <v/>
      </c>
      <c r="U70" s="46" t="str">
        <f aca="false">IF(A70="","",IF(AND(I70&lt;&gt;"",I70&lt;AsOfDate),"▲ Next date passed",IF(AND(I70&lt;&gt;"",I70&lt;=AsOfDate+7),"● Next date within 7 days",IF(AND(P70&lt;&gt;"",P70&lt;AsOfDate,N70&lt;&gt;"Complete"),"▲ Regulation past target",IF(S70&gt;0,"Open comments","")))))</f>
        <v/>
      </c>
      <c r="V70" s="46"/>
      <c r="W70" s="46"/>
      <c r="X70" s="46"/>
    </row>
    <row r="71" customFormat="false" ht="15" hidden="false" customHeight="false" outlineLevel="0" collapsed="false">
      <c r="A71" s="46"/>
      <c r="B71" s="46"/>
      <c r="C71" s="46"/>
      <c r="D71" s="46"/>
      <c r="E71" s="46"/>
      <c r="F71" s="46"/>
      <c r="G71" s="46"/>
      <c r="H71" s="46"/>
      <c r="I71" s="46"/>
      <c r="J71" s="46"/>
      <c r="K71" s="48" t="str">
        <f aca="false">IF(W71="","",HYPERLINK(W71,"Simbli"))</f>
        <v/>
      </c>
      <c r="L71" s="48" t="str">
        <f aca="false">IF(X71="","",HYPERLINK(X71,"Simbli"))</f>
        <v/>
      </c>
      <c r="M71" s="46"/>
      <c r="N71" s="46"/>
      <c r="O71" s="46"/>
      <c r="P71" s="46" t="str">
        <f aca="false">IF(OR(A71="",O71=""),"",O71+RegDays)</f>
        <v/>
      </c>
      <c r="Q71" s="46" t="str">
        <f aca="false">IF(A71="","",IF(SUMPRODUCT(MAX((Versions!$B$2:$B$501=A71)*(Versions!$M$2:$M$501="Yes")*ROW(Versions!$B$2:$B$501)))=0,"",INDEX(Versions!$A$1:$A$501,SUMPRODUCT(MAX((Versions!$B$2:$B$501=A71)*(Versions!$M$2:$M$501="Yes")*ROW(Versions!$B$2:$B$501))))))</f>
        <v/>
      </c>
      <c r="R71" s="46" t="str">
        <f aca="false">IF(A71="","",COUNTIF(Comments!$B$2:$B$2001,A71))</f>
        <v/>
      </c>
      <c r="S71" s="46" t="str">
        <f aca="false">IF(A71="","",COUNTIFS(Comments!$B$2:$B$2001,A71,Comments!$N$2:$N$2001,"Open"))</f>
        <v/>
      </c>
      <c r="T71" s="46" t="str">
        <f aca="false">IF(A71="","",COUNTIFS('Deferred edits'!$C$2:$C$201,A71,'Deferred edits'!$G$2:$G$201,"Waiting"))</f>
        <v/>
      </c>
      <c r="U71" s="46" t="str">
        <f aca="false">IF(A71="","",IF(AND(I71&lt;&gt;"",I71&lt;AsOfDate),"▲ Next date passed",IF(AND(I71&lt;&gt;"",I71&lt;=AsOfDate+7),"● Next date within 7 days",IF(AND(P71&lt;&gt;"",P71&lt;AsOfDate,N71&lt;&gt;"Complete"),"▲ Regulation past target",IF(S71&gt;0,"Open comments","")))))</f>
        <v/>
      </c>
      <c r="V71" s="46"/>
      <c r="W71" s="46"/>
      <c r="X71" s="46"/>
    </row>
    <row r="72" customFormat="false" ht="15" hidden="false" customHeight="false" outlineLevel="0" collapsed="false">
      <c r="A72" s="46"/>
      <c r="B72" s="46"/>
      <c r="C72" s="46"/>
      <c r="D72" s="46"/>
      <c r="E72" s="46"/>
      <c r="F72" s="46"/>
      <c r="G72" s="46"/>
      <c r="H72" s="46"/>
      <c r="I72" s="46"/>
      <c r="J72" s="46"/>
      <c r="K72" s="48" t="str">
        <f aca="false">IF(W72="","",HYPERLINK(W72,"Simbli"))</f>
        <v/>
      </c>
      <c r="L72" s="48" t="str">
        <f aca="false">IF(X72="","",HYPERLINK(X72,"Simbli"))</f>
        <v/>
      </c>
      <c r="M72" s="46"/>
      <c r="N72" s="46"/>
      <c r="O72" s="46"/>
      <c r="P72" s="46" t="str">
        <f aca="false">IF(OR(A72="",O72=""),"",O72+RegDays)</f>
        <v/>
      </c>
      <c r="Q72" s="46" t="str">
        <f aca="false">IF(A72="","",IF(SUMPRODUCT(MAX((Versions!$B$2:$B$501=A72)*(Versions!$M$2:$M$501="Yes")*ROW(Versions!$B$2:$B$501)))=0,"",INDEX(Versions!$A$1:$A$501,SUMPRODUCT(MAX((Versions!$B$2:$B$501=A72)*(Versions!$M$2:$M$501="Yes")*ROW(Versions!$B$2:$B$501))))))</f>
        <v/>
      </c>
      <c r="R72" s="46" t="str">
        <f aca="false">IF(A72="","",COUNTIF(Comments!$B$2:$B$2001,A72))</f>
        <v/>
      </c>
      <c r="S72" s="46" t="str">
        <f aca="false">IF(A72="","",COUNTIFS(Comments!$B$2:$B$2001,A72,Comments!$N$2:$N$2001,"Open"))</f>
        <v/>
      </c>
      <c r="T72" s="46" t="str">
        <f aca="false">IF(A72="","",COUNTIFS('Deferred edits'!$C$2:$C$201,A72,'Deferred edits'!$G$2:$G$201,"Waiting"))</f>
        <v/>
      </c>
      <c r="U72" s="46" t="str">
        <f aca="false">IF(A72="","",IF(AND(I72&lt;&gt;"",I72&lt;AsOfDate),"▲ Next date passed",IF(AND(I72&lt;&gt;"",I72&lt;=AsOfDate+7),"● Next date within 7 days",IF(AND(P72&lt;&gt;"",P72&lt;AsOfDate,N72&lt;&gt;"Complete"),"▲ Regulation past target",IF(S72&gt;0,"Open comments","")))))</f>
        <v/>
      </c>
      <c r="V72" s="46"/>
      <c r="W72" s="46"/>
      <c r="X72" s="46"/>
    </row>
    <row r="73" customFormat="false" ht="15" hidden="false" customHeight="false" outlineLevel="0" collapsed="false">
      <c r="A73" s="46"/>
      <c r="B73" s="46"/>
      <c r="C73" s="46"/>
      <c r="D73" s="46"/>
      <c r="E73" s="46"/>
      <c r="F73" s="46"/>
      <c r="G73" s="46"/>
      <c r="H73" s="46"/>
      <c r="I73" s="46"/>
      <c r="J73" s="46"/>
      <c r="K73" s="48" t="str">
        <f aca="false">IF(W73="","",HYPERLINK(W73,"Simbli"))</f>
        <v/>
      </c>
      <c r="L73" s="48" t="str">
        <f aca="false">IF(X73="","",HYPERLINK(X73,"Simbli"))</f>
        <v/>
      </c>
      <c r="M73" s="46"/>
      <c r="N73" s="46"/>
      <c r="O73" s="46"/>
      <c r="P73" s="46" t="str">
        <f aca="false">IF(OR(A73="",O73=""),"",O73+RegDays)</f>
        <v/>
      </c>
      <c r="Q73" s="46" t="str">
        <f aca="false">IF(A73="","",IF(SUMPRODUCT(MAX((Versions!$B$2:$B$501=A73)*(Versions!$M$2:$M$501="Yes")*ROW(Versions!$B$2:$B$501)))=0,"",INDEX(Versions!$A$1:$A$501,SUMPRODUCT(MAX((Versions!$B$2:$B$501=A73)*(Versions!$M$2:$M$501="Yes")*ROW(Versions!$B$2:$B$501))))))</f>
        <v/>
      </c>
      <c r="R73" s="46" t="str">
        <f aca="false">IF(A73="","",COUNTIF(Comments!$B$2:$B$2001,A73))</f>
        <v/>
      </c>
      <c r="S73" s="46" t="str">
        <f aca="false">IF(A73="","",COUNTIFS(Comments!$B$2:$B$2001,A73,Comments!$N$2:$N$2001,"Open"))</f>
        <v/>
      </c>
      <c r="T73" s="46" t="str">
        <f aca="false">IF(A73="","",COUNTIFS('Deferred edits'!$C$2:$C$201,A73,'Deferred edits'!$G$2:$G$201,"Waiting"))</f>
        <v/>
      </c>
      <c r="U73" s="46" t="str">
        <f aca="false">IF(A73="","",IF(AND(I73&lt;&gt;"",I73&lt;AsOfDate),"▲ Next date passed",IF(AND(I73&lt;&gt;"",I73&lt;=AsOfDate+7),"● Next date within 7 days",IF(AND(P73&lt;&gt;"",P73&lt;AsOfDate,N73&lt;&gt;"Complete"),"▲ Regulation past target",IF(S73&gt;0,"Open comments","")))))</f>
        <v/>
      </c>
      <c r="V73" s="46"/>
      <c r="W73" s="46"/>
      <c r="X73" s="46"/>
    </row>
    <row r="74" customFormat="false" ht="15" hidden="false" customHeight="false" outlineLevel="0" collapsed="false">
      <c r="A74" s="46"/>
      <c r="B74" s="46"/>
      <c r="C74" s="46"/>
      <c r="D74" s="46"/>
      <c r="E74" s="46"/>
      <c r="F74" s="46"/>
      <c r="G74" s="46"/>
      <c r="H74" s="46"/>
      <c r="I74" s="46"/>
      <c r="J74" s="46"/>
      <c r="K74" s="48" t="str">
        <f aca="false">IF(W74="","",HYPERLINK(W74,"Simbli"))</f>
        <v/>
      </c>
      <c r="L74" s="48" t="str">
        <f aca="false">IF(X74="","",HYPERLINK(X74,"Simbli"))</f>
        <v/>
      </c>
      <c r="M74" s="46"/>
      <c r="N74" s="46"/>
      <c r="O74" s="46"/>
      <c r="P74" s="46" t="str">
        <f aca="false">IF(OR(A74="",O74=""),"",O74+RegDays)</f>
        <v/>
      </c>
      <c r="Q74" s="46" t="str">
        <f aca="false">IF(A74="","",IF(SUMPRODUCT(MAX((Versions!$B$2:$B$501=A74)*(Versions!$M$2:$M$501="Yes")*ROW(Versions!$B$2:$B$501)))=0,"",INDEX(Versions!$A$1:$A$501,SUMPRODUCT(MAX((Versions!$B$2:$B$501=A74)*(Versions!$M$2:$M$501="Yes")*ROW(Versions!$B$2:$B$501))))))</f>
        <v/>
      </c>
      <c r="R74" s="46" t="str">
        <f aca="false">IF(A74="","",COUNTIF(Comments!$B$2:$B$2001,A74))</f>
        <v/>
      </c>
      <c r="S74" s="46" t="str">
        <f aca="false">IF(A74="","",COUNTIFS(Comments!$B$2:$B$2001,A74,Comments!$N$2:$N$2001,"Open"))</f>
        <v/>
      </c>
      <c r="T74" s="46" t="str">
        <f aca="false">IF(A74="","",COUNTIFS('Deferred edits'!$C$2:$C$201,A74,'Deferred edits'!$G$2:$G$201,"Waiting"))</f>
        <v/>
      </c>
      <c r="U74" s="46" t="str">
        <f aca="false">IF(A74="","",IF(AND(I74&lt;&gt;"",I74&lt;AsOfDate),"▲ Next date passed",IF(AND(I74&lt;&gt;"",I74&lt;=AsOfDate+7),"● Next date within 7 days",IF(AND(P74&lt;&gt;"",P74&lt;AsOfDate,N74&lt;&gt;"Complete"),"▲ Regulation past target",IF(S74&gt;0,"Open comments","")))))</f>
        <v/>
      </c>
      <c r="V74" s="46"/>
      <c r="W74" s="46"/>
      <c r="X74" s="46"/>
    </row>
    <row r="75" customFormat="false" ht="15" hidden="false" customHeight="false" outlineLevel="0" collapsed="false">
      <c r="A75" s="46"/>
      <c r="B75" s="46"/>
      <c r="C75" s="46"/>
      <c r="D75" s="46"/>
      <c r="E75" s="46"/>
      <c r="F75" s="46"/>
      <c r="G75" s="46"/>
      <c r="H75" s="46"/>
      <c r="I75" s="46"/>
      <c r="J75" s="46"/>
      <c r="K75" s="48" t="str">
        <f aca="false">IF(W75="","",HYPERLINK(W75,"Simbli"))</f>
        <v/>
      </c>
      <c r="L75" s="48" t="str">
        <f aca="false">IF(X75="","",HYPERLINK(X75,"Simbli"))</f>
        <v/>
      </c>
      <c r="M75" s="46"/>
      <c r="N75" s="46"/>
      <c r="O75" s="46"/>
      <c r="P75" s="46" t="str">
        <f aca="false">IF(OR(A75="",O75=""),"",O75+RegDays)</f>
        <v/>
      </c>
      <c r="Q75" s="46" t="str">
        <f aca="false">IF(A75="","",IF(SUMPRODUCT(MAX((Versions!$B$2:$B$501=A75)*(Versions!$M$2:$M$501="Yes")*ROW(Versions!$B$2:$B$501)))=0,"",INDEX(Versions!$A$1:$A$501,SUMPRODUCT(MAX((Versions!$B$2:$B$501=A75)*(Versions!$M$2:$M$501="Yes")*ROW(Versions!$B$2:$B$501))))))</f>
        <v/>
      </c>
      <c r="R75" s="46" t="str">
        <f aca="false">IF(A75="","",COUNTIF(Comments!$B$2:$B$2001,A75))</f>
        <v/>
      </c>
      <c r="S75" s="46" t="str">
        <f aca="false">IF(A75="","",COUNTIFS(Comments!$B$2:$B$2001,A75,Comments!$N$2:$N$2001,"Open"))</f>
        <v/>
      </c>
      <c r="T75" s="46" t="str">
        <f aca="false">IF(A75="","",COUNTIFS('Deferred edits'!$C$2:$C$201,A75,'Deferred edits'!$G$2:$G$201,"Waiting"))</f>
        <v/>
      </c>
      <c r="U75" s="46" t="str">
        <f aca="false">IF(A75="","",IF(AND(I75&lt;&gt;"",I75&lt;AsOfDate),"▲ Next date passed",IF(AND(I75&lt;&gt;"",I75&lt;=AsOfDate+7),"● Next date within 7 days",IF(AND(P75&lt;&gt;"",P75&lt;AsOfDate,N75&lt;&gt;"Complete"),"▲ Regulation past target",IF(S75&gt;0,"Open comments","")))))</f>
        <v/>
      </c>
      <c r="V75" s="46"/>
      <c r="W75" s="46"/>
      <c r="X75" s="46"/>
    </row>
    <row r="76" customFormat="false" ht="15" hidden="false" customHeight="false" outlineLevel="0" collapsed="false">
      <c r="A76" s="46"/>
      <c r="B76" s="46"/>
      <c r="C76" s="46"/>
      <c r="D76" s="46"/>
      <c r="E76" s="46"/>
      <c r="F76" s="46"/>
      <c r="G76" s="46"/>
      <c r="H76" s="46"/>
      <c r="I76" s="46"/>
      <c r="J76" s="46"/>
      <c r="K76" s="48" t="str">
        <f aca="false">IF(W76="","",HYPERLINK(W76,"Simbli"))</f>
        <v/>
      </c>
      <c r="L76" s="48" t="str">
        <f aca="false">IF(X76="","",HYPERLINK(X76,"Simbli"))</f>
        <v/>
      </c>
      <c r="M76" s="46"/>
      <c r="N76" s="46"/>
      <c r="O76" s="46"/>
      <c r="P76" s="46" t="str">
        <f aca="false">IF(OR(A76="",O76=""),"",O76+RegDays)</f>
        <v/>
      </c>
      <c r="Q76" s="46" t="str">
        <f aca="false">IF(A76="","",IF(SUMPRODUCT(MAX((Versions!$B$2:$B$501=A76)*(Versions!$M$2:$M$501="Yes")*ROW(Versions!$B$2:$B$501)))=0,"",INDEX(Versions!$A$1:$A$501,SUMPRODUCT(MAX((Versions!$B$2:$B$501=A76)*(Versions!$M$2:$M$501="Yes")*ROW(Versions!$B$2:$B$501))))))</f>
        <v/>
      </c>
      <c r="R76" s="46" t="str">
        <f aca="false">IF(A76="","",COUNTIF(Comments!$B$2:$B$2001,A76))</f>
        <v/>
      </c>
      <c r="S76" s="46" t="str">
        <f aca="false">IF(A76="","",COUNTIFS(Comments!$B$2:$B$2001,A76,Comments!$N$2:$N$2001,"Open"))</f>
        <v/>
      </c>
      <c r="T76" s="46" t="str">
        <f aca="false">IF(A76="","",COUNTIFS('Deferred edits'!$C$2:$C$201,A76,'Deferred edits'!$G$2:$G$201,"Waiting"))</f>
        <v/>
      </c>
      <c r="U76" s="46" t="str">
        <f aca="false">IF(A76="","",IF(AND(I76&lt;&gt;"",I76&lt;AsOfDate),"▲ Next date passed",IF(AND(I76&lt;&gt;"",I76&lt;=AsOfDate+7),"● Next date within 7 days",IF(AND(P76&lt;&gt;"",P76&lt;AsOfDate,N76&lt;&gt;"Complete"),"▲ Regulation past target",IF(S76&gt;0,"Open comments","")))))</f>
        <v/>
      </c>
      <c r="V76" s="46"/>
      <c r="W76" s="46"/>
      <c r="X76" s="46"/>
    </row>
    <row r="77" customFormat="false" ht="15" hidden="false" customHeight="false" outlineLevel="0" collapsed="false">
      <c r="A77" s="46"/>
      <c r="B77" s="46"/>
      <c r="C77" s="46"/>
      <c r="D77" s="46"/>
      <c r="E77" s="46"/>
      <c r="F77" s="46"/>
      <c r="G77" s="46"/>
      <c r="H77" s="46"/>
      <c r="I77" s="46"/>
      <c r="J77" s="46"/>
      <c r="K77" s="48" t="str">
        <f aca="false">IF(W77="","",HYPERLINK(W77,"Simbli"))</f>
        <v/>
      </c>
      <c r="L77" s="48" t="str">
        <f aca="false">IF(X77="","",HYPERLINK(X77,"Simbli"))</f>
        <v/>
      </c>
      <c r="M77" s="46"/>
      <c r="N77" s="46"/>
      <c r="O77" s="46"/>
      <c r="P77" s="46" t="str">
        <f aca="false">IF(OR(A77="",O77=""),"",O77+RegDays)</f>
        <v/>
      </c>
      <c r="Q77" s="46" t="str">
        <f aca="false">IF(A77="","",IF(SUMPRODUCT(MAX((Versions!$B$2:$B$501=A77)*(Versions!$M$2:$M$501="Yes")*ROW(Versions!$B$2:$B$501)))=0,"",INDEX(Versions!$A$1:$A$501,SUMPRODUCT(MAX((Versions!$B$2:$B$501=A77)*(Versions!$M$2:$M$501="Yes")*ROW(Versions!$B$2:$B$501))))))</f>
        <v/>
      </c>
      <c r="R77" s="46" t="str">
        <f aca="false">IF(A77="","",COUNTIF(Comments!$B$2:$B$2001,A77))</f>
        <v/>
      </c>
      <c r="S77" s="46" t="str">
        <f aca="false">IF(A77="","",COUNTIFS(Comments!$B$2:$B$2001,A77,Comments!$N$2:$N$2001,"Open"))</f>
        <v/>
      </c>
      <c r="T77" s="46" t="str">
        <f aca="false">IF(A77="","",COUNTIFS('Deferred edits'!$C$2:$C$201,A77,'Deferred edits'!$G$2:$G$201,"Waiting"))</f>
        <v/>
      </c>
      <c r="U77" s="46" t="str">
        <f aca="false">IF(A77="","",IF(AND(I77&lt;&gt;"",I77&lt;AsOfDate),"▲ Next date passed",IF(AND(I77&lt;&gt;"",I77&lt;=AsOfDate+7),"● Next date within 7 days",IF(AND(P77&lt;&gt;"",P77&lt;AsOfDate,N77&lt;&gt;"Complete"),"▲ Regulation past target",IF(S77&gt;0,"Open comments","")))))</f>
        <v/>
      </c>
      <c r="V77" s="46"/>
      <c r="W77" s="46"/>
      <c r="X77" s="46"/>
    </row>
    <row r="78" customFormat="false" ht="15" hidden="false" customHeight="false" outlineLevel="0" collapsed="false">
      <c r="A78" s="46"/>
      <c r="B78" s="46"/>
      <c r="C78" s="46"/>
      <c r="D78" s="46"/>
      <c r="E78" s="46"/>
      <c r="F78" s="46"/>
      <c r="G78" s="46"/>
      <c r="H78" s="46"/>
      <c r="I78" s="46"/>
      <c r="J78" s="46"/>
      <c r="K78" s="48" t="str">
        <f aca="false">IF(W78="","",HYPERLINK(W78,"Simbli"))</f>
        <v/>
      </c>
      <c r="L78" s="48" t="str">
        <f aca="false">IF(X78="","",HYPERLINK(X78,"Simbli"))</f>
        <v/>
      </c>
      <c r="M78" s="46"/>
      <c r="N78" s="46"/>
      <c r="O78" s="46"/>
      <c r="P78" s="46" t="str">
        <f aca="false">IF(OR(A78="",O78=""),"",O78+RegDays)</f>
        <v/>
      </c>
      <c r="Q78" s="46" t="str">
        <f aca="false">IF(A78="","",IF(SUMPRODUCT(MAX((Versions!$B$2:$B$501=A78)*(Versions!$M$2:$M$501="Yes")*ROW(Versions!$B$2:$B$501)))=0,"",INDEX(Versions!$A$1:$A$501,SUMPRODUCT(MAX((Versions!$B$2:$B$501=A78)*(Versions!$M$2:$M$501="Yes")*ROW(Versions!$B$2:$B$501))))))</f>
        <v/>
      </c>
      <c r="R78" s="46" t="str">
        <f aca="false">IF(A78="","",COUNTIF(Comments!$B$2:$B$2001,A78))</f>
        <v/>
      </c>
      <c r="S78" s="46" t="str">
        <f aca="false">IF(A78="","",COUNTIFS(Comments!$B$2:$B$2001,A78,Comments!$N$2:$N$2001,"Open"))</f>
        <v/>
      </c>
      <c r="T78" s="46" t="str">
        <f aca="false">IF(A78="","",COUNTIFS('Deferred edits'!$C$2:$C$201,A78,'Deferred edits'!$G$2:$G$201,"Waiting"))</f>
        <v/>
      </c>
      <c r="U78" s="46" t="str">
        <f aca="false">IF(A78="","",IF(AND(I78&lt;&gt;"",I78&lt;AsOfDate),"▲ Next date passed",IF(AND(I78&lt;&gt;"",I78&lt;=AsOfDate+7),"● Next date within 7 days",IF(AND(P78&lt;&gt;"",P78&lt;AsOfDate,N78&lt;&gt;"Complete"),"▲ Regulation past target",IF(S78&gt;0,"Open comments","")))))</f>
        <v/>
      </c>
      <c r="V78" s="46"/>
      <c r="W78" s="46"/>
      <c r="X78" s="46"/>
    </row>
    <row r="79" customFormat="false" ht="15" hidden="false" customHeight="false" outlineLevel="0" collapsed="false">
      <c r="A79" s="46"/>
      <c r="B79" s="46"/>
      <c r="C79" s="46"/>
      <c r="D79" s="46"/>
      <c r="E79" s="46"/>
      <c r="F79" s="46"/>
      <c r="G79" s="46"/>
      <c r="H79" s="46"/>
      <c r="I79" s="46"/>
      <c r="J79" s="46"/>
      <c r="K79" s="48" t="str">
        <f aca="false">IF(W79="","",HYPERLINK(W79,"Simbli"))</f>
        <v/>
      </c>
      <c r="L79" s="48" t="str">
        <f aca="false">IF(X79="","",HYPERLINK(X79,"Simbli"))</f>
        <v/>
      </c>
      <c r="M79" s="46"/>
      <c r="N79" s="46"/>
      <c r="O79" s="46"/>
      <c r="P79" s="46" t="str">
        <f aca="false">IF(OR(A79="",O79=""),"",O79+RegDays)</f>
        <v/>
      </c>
      <c r="Q79" s="46" t="str">
        <f aca="false">IF(A79="","",IF(SUMPRODUCT(MAX((Versions!$B$2:$B$501=A79)*(Versions!$M$2:$M$501="Yes")*ROW(Versions!$B$2:$B$501)))=0,"",INDEX(Versions!$A$1:$A$501,SUMPRODUCT(MAX((Versions!$B$2:$B$501=A79)*(Versions!$M$2:$M$501="Yes")*ROW(Versions!$B$2:$B$501))))))</f>
        <v/>
      </c>
      <c r="R79" s="46" t="str">
        <f aca="false">IF(A79="","",COUNTIF(Comments!$B$2:$B$2001,A79))</f>
        <v/>
      </c>
      <c r="S79" s="46" t="str">
        <f aca="false">IF(A79="","",COUNTIFS(Comments!$B$2:$B$2001,A79,Comments!$N$2:$N$2001,"Open"))</f>
        <v/>
      </c>
      <c r="T79" s="46" t="str">
        <f aca="false">IF(A79="","",COUNTIFS('Deferred edits'!$C$2:$C$201,A79,'Deferred edits'!$G$2:$G$201,"Waiting"))</f>
        <v/>
      </c>
      <c r="U79" s="46" t="str">
        <f aca="false">IF(A79="","",IF(AND(I79&lt;&gt;"",I79&lt;AsOfDate),"▲ Next date passed",IF(AND(I79&lt;&gt;"",I79&lt;=AsOfDate+7),"● Next date within 7 days",IF(AND(P79&lt;&gt;"",P79&lt;AsOfDate,N79&lt;&gt;"Complete"),"▲ Regulation past target",IF(S79&gt;0,"Open comments","")))))</f>
        <v/>
      </c>
      <c r="V79" s="46"/>
      <c r="W79" s="46"/>
      <c r="X79" s="46"/>
    </row>
    <row r="80" customFormat="false" ht="15" hidden="false" customHeight="false" outlineLevel="0" collapsed="false">
      <c r="A80" s="46"/>
      <c r="B80" s="46"/>
      <c r="C80" s="46"/>
      <c r="D80" s="46"/>
      <c r="E80" s="46"/>
      <c r="F80" s="46"/>
      <c r="G80" s="46"/>
      <c r="H80" s="46"/>
      <c r="I80" s="46"/>
      <c r="J80" s="46"/>
      <c r="K80" s="48" t="str">
        <f aca="false">IF(W80="","",HYPERLINK(W80,"Simbli"))</f>
        <v/>
      </c>
      <c r="L80" s="48" t="str">
        <f aca="false">IF(X80="","",HYPERLINK(X80,"Simbli"))</f>
        <v/>
      </c>
      <c r="M80" s="46"/>
      <c r="N80" s="46"/>
      <c r="O80" s="46"/>
      <c r="P80" s="46" t="str">
        <f aca="false">IF(OR(A80="",O80=""),"",O80+RegDays)</f>
        <v/>
      </c>
      <c r="Q80" s="46" t="str">
        <f aca="false">IF(A80="","",IF(SUMPRODUCT(MAX((Versions!$B$2:$B$501=A80)*(Versions!$M$2:$M$501="Yes")*ROW(Versions!$B$2:$B$501)))=0,"",INDEX(Versions!$A$1:$A$501,SUMPRODUCT(MAX((Versions!$B$2:$B$501=A80)*(Versions!$M$2:$M$501="Yes")*ROW(Versions!$B$2:$B$501))))))</f>
        <v/>
      </c>
      <c r="R80" s="46" t="str">
        <f aca="false">IF(A80="","",COUNTIF(Comments!$B$2:$B$2001,A80))</f>
        <v/>
      </c>
      <c r="S80" s="46" t="str">
        <f aca="false">IF(A80="","",COUNTIFS(Comments!$B$2:$B$2001,A80,Comments!$N$2:$N$2001,"Open"))</f>
        <v/>
      </c>
      <c r="T80" s="46" t="str">
        <f aca="false">IF(A80="","",COUNTIFS('Deferred edits'!$C$2:$C$201,A80,'Deferred edits'!$G$2:$G$201,"Waiting"))</f>
        <v/>
      </c>
      <c r="U80" s="46" t="str">
        <f aca="false">IF(A80="","",IF(AND(I80&lt;&gt;"",I80&lt;AsOfDate),"▲ Next date passed",IF(AND(I80&lt;&gt;"",I80&lt;=AsOfDate+7),"● Next date within 7 days",IF(AND(P80&lt;&gt;"",P80&lt;AsOfDate,N80&lt;&gt;"Complete"),"▲ Regulation past target",IF(S80&gt;0,"Open comments","")))))</f>
        <v/>
      </c>
      <c r="V80" s="46"/>
      <c r="W80" s="46"/>
      <c r="X80" s="46"/>
    </row>
    <row r="81" customFormat="false" ht="15" hidden="false" customHeight="false" outlineLevel="0" collapsed="false">
      <c r="A81" s="46"/>
      <c r="B81" s="46"/>
      <c r="C81" s="46"/>
      <c r="D81" s="46"/>
      <c r="E81" s="46"/>
      <c r="F81" s="46"/>
      <c r="G81" s="46"/>
      <c r="H81" s="46"/>
      <c r="I81" s="46"/>
      <c r="J81" s="46"/>
      <c r="K81" s="48" t="str">
        <f aca="false">IF(W81="","",HYPERLINK(W81,"Simbli"))</f>
        <v/>
      </c>
      <c r="L81" s="48" t="str">
        <f aca="false">IF(X81="","",HYPERLINK(X81,"Simbli"))</f>
        <v/>
      </c>
      <c r="M81" s="46"/>
      <c r="N81" s="46"/>
      <c r="O81" s="46"/>
      <c r="P81" s="46" t="str">
        <f aca="false">IF(OR(A81="",O81=""),"",O81+RegDays)</f>
        <v/>
      </c>
      <c r="Q81" s="46" t="str">
        <f aca="false">IF(A81="","",IF(SUMPRODUCT(MAX((Versions!$B$2:$B$501=A81)*(Versions!$M$2:$M$501="Yes")*ROW(Versions!$B$2:$B$501)))=0,"",INDEX(Versions!$A$1:$A$501,SUMPRODUCT(MAX((Versions!$B$2:$B$501=A81)*(Versions!$M$2:$M$501="Yes")*ROW(Versions!$B$2:$B$501))))))</f>
        <v/>
      </c>
      <c r="R81" s="46" t="str">
        <f aca="false">IF(A81="","",COUNTIF(Comments!$B$2:$B$2001,A81))</f>
        <v/>
      </c>
      <c r="S81" s="46" t="str">
        <f aca="false">IF(A81="","",COUNTIFS(Comments!$B$2:$B$2001,A81,Comments!$N$2:$N$2001,"Open"))</f>
        <v/>
      </c>
      <c r="T81" s="46" t="str">
        <f aca="false">IF(A81="","",COUNTIFS('Deferred edits'!$C$2:$C$201,A81,'Deferred edits'!$G$2:$G$201,"Waiting"))</f>
        <v/>
      </c>
      <c r="U81" s="46" t="str">
        <f aca="false">IF(A81="","",IF(AND(I81&lt;&gt;"",I81&lt;AsOfDate),"▲ Next date passed",IF(AND(I81&lt;&gt;"",I81&lt;=AsOfDate+7),"● Next date within 7 days",IF(AND(P81&lt;&gt;"",P81&lt;AsOfDate,N81&lt;&gt;"Complete"),"▲ Regulation past target",IF(S81&gt;0,"Open comments","")))))</f>
        <v/>
      </c>
      <c r="V81" s="46"/>
      <c r="W81" s="46"/>
      <c r="X81" s="46"/>
    </row>
    <row r="82" customFormat="false" ht="15" hidden="false" customHeight="false" outlineLevel="0" collapsed="false">
      <c r="A82" s="46"/>
      <c r="B82" s="46"/>
      <c r="C82" s="46"/>
      <c r="D82" s="46"/>
      <c r="E82" s="46"/>
      <c r="F82" s="46"/>
      <c r="G82" s="46"/>
      <c r="H82" s="46"/>
      <c r="I82" s="46"/>
      <c r="J82" s="46"/>
      <c r="K82" s="48" t="str">
        <f aca="false">IF(W82="","",HYPERLINK(W82,"Simbli"))</f>
        <v/>
      </c>
      <c r="L82" s="48" t="str">
        <f aca="false">IF(X82="","",HYPERLINK(X82,"Simbli"))</f>
        <v/>
      </c>
      <c r="M82" s="46"/>
      <c r="N82" s="46"/>
      <c r="O82" s="46"/>
      <c r="P82" s="46" t="str">
        <f aca="false">IF(OR(A82="",O82=""),"",O82+RegDays)</f>
        <v/>
      </c>
      <c r="Q82" s="46" t="str">
        <f aca="false">IF(A82="","",IF(SUMPRODUCT(MAX((Versions!$B$2:$B$501=A82)*(Versions!$M$2:$M$501="Yes")*ROW(Versions!$B$2:$B$501)))=0,"",INDEX(Versions!$A$1:$A$501,SUMPRODUCT(MAX((Versions!$B$2:$B$501=A82)*(Versions!$M$2:$M$501="Yes")*ROW(Versions!$B$2:$B$501))))))</f>
        <v/>
      </c>
      <c r="R82" s="46" t="str">
        <f aca="false">IF(A82="","",COUNTIF(Comments!$B$2:$B$2001,A82))</f>
        <v/>
      </c>
      <c r="S82" s="46" t="str">
        <f aca="false">IF(A82="","",COUNTIFS(Comments!$B$2:$B$2001,A82,Comments!$N$2:$N$2001,"Open"))</f>
        <v/>
      </c>
      <c r="T82" s="46" t="str">
        <f aca="false">IF(A82="","",COUNTIFS('Deferred edits'!$C$2:$C$201,A82,'Deferred edits'!$G$2:$G$201,"Waiting"))</f>
        <v/>
      </c>
      <c r="U82" s="46" t="str">
        <f aca="false">IF(A82="","",IF(AND(I82&lt;&gt;"",I82&lt;AsOfDate),"▲ Next date passed",IF(AND(I82&lt;&gt;"",I82&lt;=AsOfDate+7),"● Next date within 7 days",IF(AND(P82&lt;&gt;"",P82&lt;AsOfDate,N82&lt;&gt;"Complete"),"▲ Regulation past target",IF(S82&gt;0,"Open comments","")))))</f>
        <v/>
      </c>
      <c r="V82" s="46"/>
      <c r="W82" s="46"/>
      <c r="X82" s="46"/>
    </row>
    <row r="83" customFormat="false" ht="15" hidden="false" customHeight="false" outlineLevel="0" collapsed="false">
      <c r="A83" s="46"/>
      <c r="B83" s="46"/>
      <c r="C83" s="46"/>
      <c r="D83" s="46"/>
      <c r="E83" s="46"/>
      <c r="F83" s="46"/>
      <c r="G83" s="46"/>
      <c r="H83" s="46"/>
      <c r="I83" s="46"/>
      <c r="J83" s="46"/>
      <c r="K83" s="48" t="str">
        <f aca="false">IF(W83="","",HYPERLINK(W83,"Simbli"))</f>
        <v/>
      </c>
      <c r="L83" s="48" t="str">
        <f aca="false">IF(X83="","",HYPERLINK(X83,"Simbli"))</f>
        <v/>
      </c>
      <c r="M83" s="46"/>
      <c r="N83" s="46"/>
      <c r="O83" s="46"/>
      <c r="P83" s="46" t="str">
        <f aca="false">IF(OR(A83="",O83=""),"",O83+RegDays)</f>
        <v/>
      </c>
      <c r="Q83" s="46" t="str">
        <f aca="false">IF(A83="","",IF(SUMPRODUCT(MAX((Versions!$B$2:$B$501=A83)*(Versions!$M$2:$M$501="Yes")*ROW(Versions!$B$2:$B$501)))=0,"",INDEX(Versions!$A$1:$A$501,SUMPRODUCT(MAX((Versions!$B$2:$B$501=A83)*(Versions!$M$2:$M$501="Yes")*ROW(Versions!$B$2:$B$501))))))</f>
        <v/>
      </c>
      <c r="R83" s="46" t="str">
        <f aca="false">IF(A83="","",COUNTIF(Comments!$B$2:$B$2001,A83))</f>
        <v/>
      </c>
      <c r="S83" s="46" t="str">
        <f aca="false">IF(A83="","",COUNTIFS(Comments!$B$2:$B$2001,A83,Comments!$N$2:$N$2001,"Open"))</f>
        <v/>
      </c>
      <c r="T83" s="46" t="str">
        <f aca="false">IF(A83="","",COUNTIFS('Deferred edits'!$C$2:$C$201,A83,'Deferred edits'!$G$2:$G$201,"Waiting"))</f>
        <v/>
      </c>
      <c r="U83" s="46" t="str">
        <f aca="false">IF(A83="","",IF(AND(I83&lt;&gt;"",I83&lt;AsOfDate),"▲ Next date passed",IF(AND(I83&lt;&gt;"",I83&lt;=AsOfDate+7),"● Next date within 7 days",IF(AND(P83&lt;&gt;"",P83&lt;AsOfDate,N83&lt;&gt;"Complete"),"▲ Regulation past target",IF(S83&gt;0,"Open comments","")))))</f>
        <v/>
      </c>
      <c r="V83" s="46"/>
      <c r="W83" s="46"/>
      <c r="X83" s="46"/>
    </row>
    <row r="84" customFormat="false" ht="15" hidden="false" customHeight="false" outlineLevel="0" collapsed="false">
      <c r="A84" s="46"/>
      <c r="B84" s="46"/>
      <c r="C84" s="46"/>
      <c r="D84" s="46"/>
      <c r="E84" s="46"/>
      <c r="F84" s="46"/>
      <c r="G84" s="46"/>
      <c r="H84" s="46"/>
      <c r="I84" s="46"/>
      <c r="J84" s="46"/>
      <c r="K84" s="48" t="str">
        <f aca="false">IF(W84="","",HYPERLINK(W84,"Simbli"))</f>
        <v/>
      </c>
      <c r="L84" s="48" t="str">
        <f aca="false">IF(X84="","",HYPERLINK(X84,"Simbli"))</f>
        <v/>
      </c>
      <c r="M84" s="46"/>
      <c r="N84" s="46"/>
      <c r="O84" s="46"/>
      <c r="P84" s="46" t="str">
        <f aca="false">IF(OR(A84="",O84=""),"",O84+RegDays)</f>
        <v/>
      </c>
      <c r="Q84" s="46" t="str">
        <f aca="false">IF(A84="","",IF(SUMPRODUCT(MAX((Versions!$B$2:$B$501=A84)*(Versions!$M$2:$M$501="Yes")*ROW(Versions!$B$2:$B$501)))=0,"",INDEX(Versions!$A$1:$A$501,SUMPRODUCT(MAX((Versions!$B$2:$B$501=A84)*(Versions!$M$2:$M$501="Yes")*ROW(Versions!$B$2:$B$501))))))</f>
        <v/>
      </c>
      <c r="R84" s="46" t="str">
        <f aca="false">IF(A84="","",COUNTIF(Comments!$B$2:$B$2001,A84))</f>
        <v/>
      </c>
      <c r="S84" s="46" t="str">
        <f aca="false">IF(A84="","",COUNTIFS(Comments!$B$2:$B$2001,A84,Comments!$N$2:$N$2001,"Open"))</f>
        <v/>
      </c>
      <c r="T84" s="46" t="str">
        <f aca="false">IF(A84="","",COUNTIFS('Deferred edits'!$C$2:$C$201,A84,'Deferred edits'!$G$2:$G$201,"Waiting"))</f>
        <v/>
      </c>
      <c r="U84" s="46" t="str">
        <f aca="false">IF(A84="","",IF(AND(I84&lt;&gt;"",I84&lt;AsOfDate),"▲ Next date passed",IF(AND(I84&lt;&gt;"",I84&lt;=AsOfDate+7),"● Next date within 7 days",IF(AND(P84&lt;&gt;"",P84&lt;AsOfDate,N84&lt;&gt;"Complete"),"▲ Regulation past target",IF(S84&gt;0,"Open comments","")))))</f>
        <v/>
      </c>
      <c r="V84" s="46"/>
      <c r="W84" s="46"/>
      <c r="X84" s="46"/>
    </row>
    <row r="85" customFormat="false" ht="15" hidden="false" customHeight="false" outlineLevel="0" collapsed="false">
      <c r="A85" s="46"/>
      <c r="B85" s="46"/>
      <c r="C85" s="46"/>
      <c r="D85" s="46"/>
      <c r="E85" s="46"/>
      <c r="F85" s="46"/>
      <c r="G85" s="46"/>
      <c r="H85" s="46"/>
      <c r="I85" s="46"/>
      <c r="J85" s="46"/>
      <c r="K85" s="48" t="str">
        <f aca="false">IF(W85="","",HYPERLINK(W85,"Simbli"))</f>
        <v/>
      </c>
      <c r="L85" s="48" t="str">
        <f aca="false">IF(X85="","",HYPERLINK(X85,"Simbli"))</f>
        <v/>
      </c>
      <c r="M85" s="46"/>
      <c r="N85" s="46"/>
      <c r="O85" s="46"/>
      <c r="P85" s="46" t="str">
        <f aca="false">IF(OR(A85="",O85=""),"",O85+RegDays)</f>
        <v/>
      </c>
      <c r="Q85" s="46" t="str">
        <f aca="false">IF(A85="","",IF(SUMPRODUCT(MAX((Versions!$B$2:$B$501=A85)*(Versions!$M$2:$M$501="Yes")*ROW(Versions!$B$2:$B$501)))=0,"",INDEX(Versions!$A$1:$A$501,SUMPRODUCT(MAX((Versions!$B$2:$B$501=A85)*(Versions!$M$2:$M$501="Yes")*ROW(Versions!$B$2:$B$501))))))</f>
        <v/>
      </c>
      <c r="R85" s="46" t="str">
        <f aca="false">IF(A85="","",COUNTIF(Comments!$B$2:$B$2001,A85))</f>
        <v/>
      </c>
      <c r="S85" s="46" t="str">
        <f aca="false">IF(A85="","",COUNTIFS(Comments!$B$2:$B$2001,A85,Comments!$N$2:$N$2001,"Open"))</f>
        <v/>
      </c>
      <c r="T85" s="46" t="str">
        <f aca="false">IF(A85="","",COUNTIFS('Deferred edits'!$C$2:$C$201,A85,'Deferred edits'!$G$2:$G$201,"Waiting"))</f>
        <v/>
      </c>
      <c r="U85" s="46" t="str">
        <f aca="false">IF(A85="","",IF(AND(I85&lt;&gt;"",I85&lt;AsOfDate),"▲ Next date passed",IF(AND(I85&lt;&gt;"",I85&lt;=AsOfDate+7),"● Next date within 7 days",IF(AND(P85&lt;&gt;"",P85&lt;AsOfDate,N85&lt;&gt;"Complete"),"▲ Regulation past target",IF(S85&gt;0,"Open comments","")))))</f>
        <v/>
      </c>
      <c r="V85" s="46"/>
      <c r="W85" s="46"/>
      <c r="X85" s="46"/>
    </row>
    <row r="86" customFormat="false" ht="15" hidden="false" customHeight="false" outlineLevel="0" collapsed="false">
      <c r="A86" s="46"/>
      <c r="B86" s="46"/>
      <c r="C86" s="46"/>
      <c r="D86" s="46"/>
      <c r="E86" s="46"/>
      <c r="F86" s="46"/>
      <c r="G86" s="46"/>
      <c r="H86" s="46"/>
      <c r="I86" s="46"/>
      <c r="J86" s="46"/>
      <c r="K86" s="48" t="str">
        <f aca="false">IF(W86="","",HYPERLINK(W86,"Simbli"))</f>
        <v/>
      </c>
      <c r="L86" s="48" t="str">
        <f aca="false">IF(X86="","",HYPERLINK(X86,"Simbli"))</f>
        <v/>
      </c>
      <c r="M86" s="46"/>
      <c r="N86" s="46"/>
      <c r="O86" s="46"/>
      <c r="P86" s="46" t="str">
        <f aca="false">IF(OR(A86="",O86=""),"",O86+RegDays)</f>
        <v/>
      </c>
      <c r="Q86" s="46" t="str">
        <f aca="false">IF(A86="","",IF(SUMPRODUCT(MAX((Versions!$B$2:$B$501=A86)*(Versions!$M$2:$M$501="Yes")*ROW(Versions!$B$2:$B$501)))=0,"",INDEX(Versions!$A$1:$A$501,SUMPRODUCT(MAX((Versions!$B$2:$B$501=A86)*(Versions!$M$2:$M$501="Yes")*ROW(Versions!$B$2:$B$501))))))</f>
        <v/>
      </c>
      <c r="R86" s="46" t="str">
        <f aca="false">IF(A86="","",COUNTIF(Comments!$B$2:$B$2001,A86))</f>
        <v/>
      </c>
      <c r="S86" s="46" t="str">
        <f aca="false">IF(A86="","",COUNTIFS(Comments!$B$2:$B$2001,A86,Comments!$N$2:$N$2001,"Open"))</f>
        <v/>
      </c>
      <c r="T86" s="46" t="str">
        <f aca="false">IF(A86="","",COUNTIFS('Deferred edits'!$C$2:$C$201,A86,'Deferred edits'!$G$2:$G$201,"Waiting"))</f>
        <v/>
      </c>
      <c r="U86" s="46" t="str">
        <f aca="false">IF(A86="","",IF(AND(I86&lt;&gt;"",I86&lt;AsOfDate),"▲ Next date passed",IF(AND(I86&lt;&gt;"",I86&lt;=AsOfDate+7),"● Next date within 7 days",IF(AND(P86&lt;&gt;"",P86&lt;AsOfDate,N86&lt;&gt;"Complete"),"▲ Regulation past target",IF(S86&gt;0,"Open comments","")))))</f>
        <v/>
      </c>
      <c r="V86" s="46"/>
      <c r="W86" s="46"/>
      <c r="X86" s="46"/>
    </row>
    <row r="87" customFormat="false" ht="15" hidden="false" customHeight="false" outlineLevel="0" collapsed="false">
      <c r="A87" s="46"/>
      <c r="B87" s="46"/>
      <c r="C87" s="46"/>
      <c r="D87" s="46"/>
      <c r="E87" s="46"/>
      <c r="F87" s="46"/>
      <c r="G87" s="46"/>
      <c r="H87" s="46"/>
      <c r="I87" s="46"/>
      <c r="J87" s="46"/>
      <c r="K87" s="48" t="str">
        <f aca="false">IF(W87="","",HYPERLINK(W87,"Simbli"))</f>
        <v/>
      </c>
      <c r="L87" s="48" t="str">
        <f aca="false">IF(X87="","",HYPERLINK(X87,"Simbli"))</f>
        <v/>
      </c>
      <c r="M87" s="46"/>
      <c r="N87" s="46"/>
      <c r="O87" s="46"/>
      <c r="P87" s="46" t="str">
        <f aca="false">IF(OR(A87="",O87=""),"",O87+RegDays)</f>
        <v/>
      </c>
      <c r="Q87" s="46" t="str">
        <f aca="false">IF(A87="","",IF(SUMPRODUCT(MAX((Versions!$B$2:$B$501=A87)*(Versions!$M$2:$M$501="Yes")*ROW(Versions!$B$2:$B$501)))=0,"",INDEX(Versions!$A$1:$A$501,SUMPRODUCT(MAX((Versions!$B$2:$B$501=A87)*(Versions!$M$2:$M$501="Yes")*ROW(Versions!$B$2:$B$501))))))</f>
        <v/>
      </c>
      <c r="R87" s="46" t="str">
        <f aca="false">IF(A87="","",COUNTIF(Comments!$B$2:$B$2001,A87))</f>
        <v/>
      </c>
      <c r="S87" s="46" t="str">
        <f aca="false">IF(A87="","",COUNTIFS(Comments!$B$2:$B$2001,A87,Comments!$N$2:$N$2001,"Open"))</f>
        <v/>
      </c>
      <c r="T87" s="46" t="str">
        <f aca="false">IF(A87="","",COUNTIFS('Deferred edits'!$C$2:$C$201,A87,'Deferred edits'!$G$2:$G$201,"Waiting"))</f>
        <v/>
      </c>
      <c r="U87" s="46" t="str">
        <f aca="false">IF(A87="","",IF(AND(I87&lt;&gt;"",I87&lt;AsOfDate),"▲ Next date passed",IF(AND(I87&lt;&gt;"",I87&lt;=AsOfDate+7),"● Next date within 7 days",IF(AND(P87&lt;&gt;"",P87&lt;AsOfDate,N87&lt;&gt;"Complete"),"▲ Regulation past target",IF(S87&gt;0,"Open comments","")))))</f>
        <v/>
      </c>
      <c r="V87" s="46"/>
      <c r="W87" s="46"/>
      <c r="X87" s="46"/>
    </row>
    <row r="88" customFormat="false" ht="15" hidden="false" customHeight="false" outlineLevel="0" collapsed="false">
      <c r="A88" s="46"/>
      <c r="B88" s="46"/>
      <c r="C88" s="46"/>
      <c r="D88" s="46"/>
      <c r="E88" s="46"/>
      <c r="F88" s="46"/>
      <c r="G88" s="46"/>
      <c r="H88" s="46"/>
      <c r="I88" s="46"/>
      <c r="J88" s="46"/>
      <c r="K88" s="48" t="str">
        <f aca="false">IF(W88="","",HYPERLINK(W88,"Simbli"))</f>
        <v/>
      </c>
      <c r="L88" s="48" t="str">
        <f aca="false">IF(X88="","",HYPERLINK(X88,"Simbli"))</f>
        <v/>
      </c>
      <c r="M88" s="46"/>
      <c r="N88" s="46"/>
      <c r="O88" s="46"/>
      <c r="P88" s="46" t="str">
        <f aca="false">IF(OR(A88="",O88=""),"",O88+RegDays)</f>
        <v/>
      </c>
      <c r="Q88" s="46" t="str">
        <f aca="false">IF(A88="","",IF(SUMPRODUCT(MAX((Versions!$B$2:$B$501=A88)*(Versions!$M$2:$M$501="Yes")*ROW(Versions!$B$2:$B$501)))=0,"",INDEX(Versions!$A$1:$A$501,SUMPRODUCT(MAX((Versions!$B$2:$B$501=A88)*(Versions!$M$2:$M$501="Yes")*ROW(Versions!$B$2:$B$501))))))</f>
        <v/>
      </c>
      <c r="R88" s="46" t="str">
        <f aca="false">IF(A88="","",COUNTIF(Comments!$B$2:$B$2001,A88))</f>
        <v/>
      </c>
      <c r="S88" s="46" t="str">
        <f aca="false">IF(A88="","",COUNTIFS(Comments!$B$2:$B$2001,A88,Comments!$N$2:$N$2001,"Open"))</f>
        <v/>
      </c>
      <c r="T88" s="46" t="str">
        <f aca="false">IF(A88="","",COUNTIFS('Deferred edits'!$C$2:$C$201,A88,'Deferred edits'!$G$2:$G$201,"Waiting"))</f>
        <v/>
      </c>
      <c r="U88" s="46" t="str">
        <f aca="false">IF(A88="","",IF(AND(I88&lt;&gt;"",I88&lt;AsOfDate),"▲ Next date passed",IF(AND(I88&lt;&gt;"",I88&lt;=AsOfDate+7),"● Next date within 7 days",IF(AND(P88&lt;&gt;"",P88&lt;AsOfDate,N88&lt;&gt;"Complete"),"▲ Regulation past target",IF(S88&gt;0,"Open comments","")))))</f>
        <v/>
      </c>
      <c r="V88" s="46"/>
      <c r="W88" s="46"/>
      <c r="X88" s="46"/>
    </row>
    <row r="89" customFormat="false" ht="15" hidden="false" customHeight="false" outlineLevel="0" collapsed="false">
      <c r="A89" s="46"/>
      <c r="B89" s="46"/>
      <c r="C89" s="46"/>
      <c r="D89" s="46"/>
      <c r="E89" s="46"/>
      <c r="F89" s="46"/>
      <c r="G89" s="46"/>
      <c r="H89" s="46"/>
      <c r="I89" s="46"/>
      <c r="J89" s="46"/>
      <c r="K89" s="48" t="str">
        <f aca="false">IF(W89="","",HYPERLINK(W89,"Simbli"))</f>
        <v/>
      </c>
      <c r="L89" s="48" t="str">
        <f aca="false">IF(X89="","",HYPERLINK(X89,"Simbli"))</f>
        <v/>
      </c>
      <c r="M89" s="46"/>
      <c r="N89" s="46"/>
      <c r="O89" s="46"/>
      <c r="P89" s="46" t="str">
        <f aca="false">IF(OR(A89="",O89=""),"",O89+RegDays)</f>
        <v/>
      </c>
      <c r="Q89" s="46" t="str">
        <f aca="false">IF(A89="","",IF(SUMPRODUCT(MAX((Versions!$B$2:$B$501=A89)*(Versions!$M$2:$M$501="Yes")*ROW(Versions!$B$2:$B$501)))=0,"",INDEX(Versions!$A$1:$A$501,SUMPRODUCT(MAX((Versions!$B$2:$B$501=A89)*(Versions!$M$2:$M$501="Yes")*ROW(Versions!$B$2:$B$501))))))</f>
        <v/>
      </c>
      <c r="R89" s="46" t="str">
        <f aca="false">IF(A89="","",COUNTIF(Comments!$B$2:$B$2001,A89))</f>
        <v/>
      </c>
      <c r="S89" s="46" t="str">
        <f aca="false">IF(A89="","",COUNTIFS(Comments!$B$2:$B$2001,A89,Comments!$N$2:$N$2001,"Open"))</f>
        <v/>
      </c>
      <c r="T89" s="46" t="str">
        <f aca="false">IF(A89="","",COUNTIFS('Deferred edits'!$C$2:$C$201,A89,'Deferred edits'!$G$2:$G$201,"Waiting"))</f>
        <v/>
      </c>
      <c r="U89" s="46" t="str">
        <f aca="false">IF(A89="","",IF(AND(I89&lt;&gt;"",I89&lt;AsOfDate),"▲ Next date passed",IF(AND(I89&lt;&gt;"",I89&lt;=AsOfDate+7),"● Next date within 7 days",IF(AND(P89&lt;&gt;"",P89&lt;AsOfDate,N89&lt;&gt;"Complete"),"▲ Regulation past target",IF(S89&gt;0,"Open comments","")))))</f>
        <v/>
      </c>
      <c r="V89" s="46"/>
      <c r="W89" s="46"/>
      <c r="X89" s="46"/>
    </row>
    <row r="90" customFormat="false" ht="15" hidden="false" customHeight="false" outlineLevel="0" collapsed="false">
      <c r="A90" s="46"/>
      <c r="B90" s="46"/>
      <c r="C90" s="46"/>
      <c r="D90" s="46"/>
      <c r="E90" s="46"/>
      <c r="F90" s="46"/>
      <c r="G90" s="46"/>
      <c r="H90" s="46"/>
      <c r="I90" s="46"/>
      <c r="J90" s="46"/>
      <c r="K90" s="48" t="str">
        <f aca="false">IF(W90="","",HYPERLINK(W90,"Simbli"))</f>
        <v/>
      </c>
      <c r="L90" s="48" t="str">
        <f aca="false">IF(X90="","",HYPERLINK(X90,"Simbli"))</f>
        <v/>
      </c>
      <c r="M90" s="46"/>
      <c r="N90" s="46"/>
      <c r="O90" s="46"/>
      <c r="P90" s="46" t="str">
        <f aca="false">IF(OR(A90="",O90=""),"",O90+RegDays)</f>
        <v/>
      </c>
      <c r="Q90" s="46" t="str">
        <f aca="false">IF(A90="","",IF(SUMPRODUCT(MAX((Versions!$B$2:$B$501=A90)*(Versions!$M$2:$M$501="Yes")*ROW(Versions!$B$2:$B$501)))=0,"",INDEX(Versions!$A$1:$A$501,SUMPRODUCT(MAX((Versions!$B$2:$B$501=A90)*(Versions!$M$2:$M$501="Yes")*ROW(Versions!$B$2:$B$501))))))</f>
        <v/>
      </c>
      <c r="R90" s="46" t="str">
        <f aca="false">IF(A90="","",COUNTIF(Comments!$B$2:$B$2001,A90))</f>
        <v/>
      </c>
      <c r="S90" s="46" t="str">
        <f aca="false">IF(A90="","",COUNTIFS(Comments!$B$2:$B$2001,A90,Comments!$N$2:$N$2001,"Open"))</f>
        <v/>
      </c>
      <c r="T90" s="46" t="str">
        <f aca="false">IF(A90="","",COUNTIFS('Deferred edits'!$C$2:$C$201,A90,'Deferred edits'!$G$2:$G$201,"Waiting"))</f>
        <v/>
      </c>
      <c r="U90" s="46" t="str">
        <f aca="false">IF(A90="","",IF(AND(I90&lt;&gt;"",I90&lt;AsOfDate),"▲ Next date passed",IF(AND(I90&lt;&gt;"",I90&lt;=AsOfDate+7),"● Next date within 7 days",IF(AND(P90&lt;&gt;"",P90&lt;AsOfDate,N90&lt;&gt;"Complete"),"▲ Regulation past target",IF(S90&gt;0,"Open comments","")))))</f>
        <v/>
      </c>
      <c r="V90" s="46"/>
      <c r="W90" s="46"/>
      <c r="X90" s="46"/>
    </row>
    <row r="91" customFormat="false" ht="15" hidden="false" customHeight="false" outlineLevel="0" collapsed="false">
      <c r="A91" s="46"/>
      <c r="B91" s="46"/>
      <c r="C91" s="46"/>
      <c r="D91" s="46"/>
      <c r="E91" s="46"/>
      <c r="F91" s="46"/>
      <c r="G91" s="46"/>
      <c r="H91" s="46"/>
      <c r="I91" s="46"/>
      <c r="J91" s="46"/>
      <c r="K91" s="48" t="str">
        <f aca="false">IF(W91="","",HYPERLINK(W91,"Simbli"))</f>
        <v/>
      </c>
      <c r="L91" s="48" t="str">
        <f aca="false">IF(X91="","",HYPERLINK(X91,"Simbli"))</f>
        <v/>
      </c>
      <c r="M91" s="46"/>
      <c r="N91" s="46"/>
      <c r="O91" s="46"/>
      <c r="P91" s="46" t="str">
        <f aca="false">IF(OR(A91="",O91=""),"",O91+RegDays)</f>
        <v/>
      </c>
      <c r="Q91" s="46" t="str">
        <f aca="false">IF(A91="","",IF(SUMPRODUCT(MAX((Versions!$B$2:$B$501=A91)*(Versions!$M$2:$M$501="Yes")*ROW(Versions!$B$2:$B$501)))=0,"",INDEX(Versions!$A$1:$A$501,SUMPRODUCT(MAX((Versions!$B$2:$B$501=A91)*(Versions!$M$2:$M$501="Yes")*ROW(Versions!$B$2:$B$501))))))</f>
        <v/>
      </c>
      <c r="R91" s="46" t="str">
        <f aca="false">IF(A91="","",COUNTIF(Comments!$B$2:$B$2001,A91))</f>
        <v/>
      </c>
      <c r="S91" s="46" t="str">
        <f aca="false">IF(A91="","",COUNTIFS(Comments!$B$2:$B$2001,A91,Comments!$N$2:$N$2001,"Open"))</f>
        <v/>
      </c>
      <c r="T91" s="46" t="str">
        <f aca="false">IF(A91="","",COUNTIFS('Deferred edits'!$C$2:$C$201,A91,'Deferred edits'!$G$2:$G$201,"Waiting"))</f>
        <v/>
      </c>
      <c r="U91" s="46" t="str">
        <f aca="false">IF(A91="","",IF(AND(I91&lt;&gt;"",I91&lt;AsOfDate),"▲ Next date passed",IF(AND(I91&lt;&gt;"",I91&lt;=AsOfDate+7),"● Next date within 7 days",IF(AND(P91&lt;&gt;"",P91&lt;AsOfDate,N91&lt;&gt;"Complete"),"▲ Regulation past target",IF(S91&gt;0,"Open comments","")))))</f>
        <v/>
      </c>
      <c r="V91" s="46"/>
      <c r="W91" s="46"/>
      <c r="X91" s="46"/>
    </row>
    <row r="92" customFormat="false" ht="15" hidden="false" customHeight="false" outlineLevel="0" collapsed="false">
      <c r="A92" s="46"/>
      <c r="B92" s="46"/>
      <c r="C92" s="46"/>
      <c r="D92" s="46"/>
      <c r="E92" s="46"/>
      <c r="F92" s="46"/>
      <c r="G92" s="46"/>
      <c r="H92" s="46"/>
      <c r="I92" s="46"/>
      <c r="J92" s="46"/>
      <c r="K92" s="48" t="str">
        <f aca="false">IF(W92="","",HYPERLINK(W92,"Simbli"))</f>
        <v/>
      </c>
      <c r="L92" s="48" t="str">
        <f aca="false">IF(X92="","",HYPERLINK(X92,"Simbli"))</f>
        <v/>
      </c>
      <c r="M92" s="46"/>
      <c r="N92" s="46"/>
      <c r="O92" s="46"/>
      <c r="P92" s="46" t="str">
        <f aca="false">IF(OR(A92="",O92=""),"",O92+RegDays)</f>
        <v/>
      </c>
      <c r="Q92" s="46" t="str">
        <f aca="false">IF(A92="","",IF(SUMPRODUCT(MAX((Versions!$B$2:$B$501=A92)*(Versions!$M$2:$M$501="Yes")*ROW(Versions!$B$2:$B$501)))=0,"",INDEX(Versions!$A$1:$A$501,SUMPRODUCT(MAX((Versions!$B$2:$B$501=A92)*(Versions!$M$2:$M$501="Yes")*ROW(Versions!$B$2:$B$501))))))</f>
        <v/>
      </c>
      <c r="R92" s="46" t="str">
        <f aca="false">IF(A92="","",COUNTIF(Comments!$B$2:$B$2001,A92))</f>
        <v/>
      </c>
      <c r="S92" s="46" t="str">
        <f aca="false">IF(A92="","",COUNTIFS(Comments!$B$2:$B$2001,A92,Comments!$N$2:$N$2001,"Open"))</f>
        <v/>
      </c>
      <c r="T92" s="46" t="str">
        <f aca="false">IF(A92="","",COUNTIFS('Deferred edits'!$C$2:$C$201,A92,'Deferred edits'!$G$2:$G$201,"Waiting"))</f>
        <v/>
      </c>
      <c r="U92" s="46" t="str">
        <f aca="false">IF(A92="","",IF(AND(I92&lt;&gt;"",I92&lt;AsOfDate),"▲ Next date passed",IF(AND(I92&lt;&gt;"",I92&lt;=AsOfDate+7),"● Next date within 7 days",IF(AND(P92&lt;&gt;"",P92&lt;AsOfDate,N92&lt;&gt;"Complete"),"▲ Regulation past target",IF(S92&gt;0,"Open comments","")))))</f>
        <v/>
      </c>
      <c r="V92" s="46"/>
      <c r="W92" s="46"/>
      <c r="X92" s="46"/>
    </row>
    <row r="93" customFormat="false" ht="15" hidden="false" customHeight="false" outlineLevel="0" collapsed="false">
      <c r="A93" s="46"/>
      <c r="B93" s="46"/>
      <c r="C93" s="46"/>
      <c r="D93" s="46"/>
      <c r="E93" s="46"/>
      <c r="F93" s="46"/>
      <c r="G93" s="46"/>
      <c r="H93" s="46"/>
      <c r="I93" s="46"/>
      <c r="J93" s="46"/>
      <c r="K93" s="48" t="str">
        <f aca="false">IF(W93="","",HYPERLINK(W93,"Simbli"))</f>
        <v/>
      </c>
      <c r="L93" s="48" t="str">
        <f aca="false">IF(X93="","",HYPERLINK(X93,"Simbli"))</f>
        <v/>
      </c>
      <c r="M93" s="46"/>
      <c r="N93" s="46"/>
      <c r="O93" s="46"/>
      <c r="P93" s="46" t="str">
        <f aca="false">IF(OR(A93="",O93=""),"",O93+RegDays)</f>
        <v/>
      </c>
      <c r="Q93" s="46" t="str">
        <f aca="false">IF(A93="","",IF(SUMPRODUCT(MAX((Versions!$B$2:$B$501=A93)*(Versions!$M$2:$M$501="Yes")*ROW(Versions!$B$2:$B$501)))=0,"",INDEX(Versions!$A$1:$A$501,SUMPRODUCT(MAX((Versions!$B$2:$B$501=A93)*(Versions!$M$2:$M$501="Yes")*ROW(Versions!$B$2:$B$501))))))</f>
        <v/>
      </c>
      <c r="R93" s="46" t="str">
        <f aca="false">IF(A93="","",COUNTIF(Comments!$B$2:$B$2001,A93))</f>
        <v/>
      </c>
      <c r="S93" s="46" t="str">
        <f aca="false">IF(A93="","",COUNTIFS(Comments!$B$2:$B$2001,A93,Comments!$N$2:$N$2001,"Open"))</f>
        <v/>
      </c>
      <c r="T93" s="46" t="str">
        <f aca="false">IF(A93="","",COUNTIFS('Deferred edits'!$C$2:$C$201,A93,'Deferred edits'!$G$2:$G$201,"Waiting"))</f>
        <v/>
      </c>
      <c r="U93" s="46" t="str">
        <f aca="false">IF(A93="","",IF(AND(I93&lt;&gt;"",I93&lt;AsOfDate),"▲ Next date passed",IF(AND(I93&lt;&gt;"",I93&lt;=AsOfDate+7),"● Next date within 7 days",IF(AND(P93&lt;&gt;"",P93&lt;AsOfDate,N93&lt;&gt;"Complete"),"▲ Regulation past target",IF(S93&gt;0,"Open comments","")))))</f>
        <v/>
      </c>
      <c r="V93" s="46"/>
      <c r="W93" s="46"/>
      <c r="X93" s="46"/>
    </row>
    <row r="94" customFormat="false" ht="15" hidden="false" customHeight="false" outlineLevel="0" collapsed="false">
      <c r="A94" s="46"/>
      <c r="B94" s="46"/>
      <c r="C94" s="46"/>
      <c r="D94" s="46"/>
      <c r="E94" s="46"/>
      <c r="F94" s="46"/>
      <c r="G94" s="46"/>
      <c r="H94" s="46"/>
      <c r="I94" s="46"/>
      <c r="J94" s="46"/>
      <c r="K94" s="48" t="str">
        <f aca="false">IF(W94="","",HYPERLINK(W94,"Simbli"))</f>
        <v/>
      </c>
      <c r="L94" s="48" t="str">
        <f aca="false">IF(X94="","",HYPERLINK(X94,"Simbli"))</f>
        <v/>
      </c>
      <c r="M94" s="46"/>
      <c r="N94" s="46"/>
      <c r="O94" s="46"/>
      <c r="P94" s="46" t="str">
        <f aca="false">IF(OR(A94="",O94=""),"",O94+RegDays)</f>
        <v/>
      </c>
      <c r="Q94" s="46" t="str">
        <f aca="false">IF(A94="","",IF(SUMPRODUCT(MAX((Versions!$B$2:$B$501=A94)*(Versions!$M$2:$M$501="Yes")*ROW(Versions!$B$2:$B$501)))=0,"",INDEX(Versions!$A$1:$A$501,SUMPRODUCT(MAX((Versions!$B$2:$B$501=A94)*(Versions!$M$2:$M$501="Yes")*ROW(Versions!$B$2:$B$501))))))</f>
        <v/>
      </c>
      <c r="R94" s="46" t="str">
        <f aca="false">IF(A94="","",COUNTIF(Comments!$B$2:$B$2001,A94))</f>
        <v/>
      </c>
      <c r="S94" s="46" t="str">
        <f aca="false">IF(A94="","",COUNTIFS(Comments!$B$2:$B$2001,A94,Comments!$N$2:$N$2001,"Open"))</f>
        <v/>
      </c>
      <c r="T94" s="46" t="str">
        <f aca="false">IF(A94="","",COUNTIFS('Deferred edits'!$C$2:$C$201,A94,'Deferred edits'!$G$2:$G$201,"Waiting"))</f>
        <v/>
      </c>
      <c r="U94" s="46" t="str">
        <f aca="false">IF(A94="","",IF(AND(I94&lt;&gt;"",I94&lt;AsOfDate),"▲ Next date passed",IF(AND(I94&lt;&gt;"",I94&lt;=AsOfDate+7),"● Next date within 7 days",IF(AND(P94&lt;&gt;"",P94&lt;AsOfDate,N94&lt;&gt;"Complete"),"▲ Regulation past target",IF(S94&gt;0,"Open comments","")))))</f>
        <v/>
      </c>
      <c r="V94" s="46"/>
      <c r="W94" s="46"/>
      <c r="X94" s="46"/>
    </row>
    <row r="95" customFormat="false" ht="15" hidden="false" customHeight="false" outlineLevel="0" collapsed="false">
      <c r="A95" s="46"/>
      <c r="B95" s="46"/>
      <c r="C95" s="46"/>
      <c r="D95" s="46"/>
      <c r="E95" s="46"/>
      <c r="F95" s="46"/>
      <c r="G95" s="46"/>
      <c r="H95" s="46"/>
      <c r="I95" s="46"/>
      <c r="J95" s="46"/>
      <c r="K95" s="48" t="str">
        <f aca="false">IF(W95="","",HYPERLINK(W95,"Simbli"))</f>
        <v/>
      </c>
      <c r="L95" s="48" t="str">
        <f aca="false">IF(X95="","",HYPERLINK(X95,"Simbli"))</f>
        <v/>
      </c>
      <c r="M95" s="46"/>
      <c r="N95" s="46"/>
      <c r="O95" s="46"/>
      <c r="P95" s="46" t="str">
        <f aca="false">IF(OR(A95="",O95=""),"",O95+RegDays)</f>
        <v/>
      </c>
      <c r="Q95" s="46" t="str">
        <f aca="false">IF(A95="","",IF(SUMPRODUCT(MAX((Versions!$B$2:$B$501=A95)*(Versions!$M$2:$M$501="Yes")*ROW(Versions!$B$2:$B$501)))=0,"",INDEX(Versions!$A$1:$A$501,SUMPRODUCT(MAX((Versions!$B$2:$B$501=A95)*(Versions!$M$2:$M$501="Yes")*ROW(Versions!$B$2:$B$501))))))</f>
        <v/>
      </c>
      <c r="R95" s="46" t="str">
        <f aca="false">IF(A95="","",COUNTIF(Comments!$B$2:$B$2001,A95))</f>
        <v/>
      </c>
      <c r="S95" s="46" t="str">
        <f aca="false">IF(A95="","",COUNTIFS(Comments!$B$2:$B$2001,A95,Comments!$N$2:$N$2001,"Open"))</f>
        <v/>
      </c>
      <c r="T95" s="46" t="str">
        <f aca="false">IF(A95="","",COUNTIFS('Deferred edits'!$C$2:$C$201,A95,'Deferred edits'!$G$2:$G$201,"Waiting"))</f>
        <v/>
      </c>
      <c r="U95" s="46" t="str">
        <f aca="false">IF(A95="","",IF(AND(I95&lt;&gt;"",I95&lt;AsOfDate),"▲ Next date passed",IF(AND(I95&lt;&gt;"",I95&lt;=AsOfDate+7),"● Next date within 7 days",IF(AND(P95&lt;&gt;"",P95&lt;AsOfDate,N95&lt;&gt;"Complete"),"▲ Regulation past target",IF(S95&gt;0,"Open comments","")))))</f>
        <v/>
      </c>
      <c r="V95" s="46"/>
      <c r="W95" s="46"/>
      <c r="X95" s="46"/>
    </row>
    <row r="96" customFormat="false" ht="15" hidden="false" customHeight="false" outlineLevel="0" collapsed="false">
      <c r="A96" s="46"/>
      <c r="B96" s="46"/>
      <c r="C96" s="46"/>
      <c r="D96" s="46"/>
      <c r="E96" s="46"/>
      <c r="F96" s="46"/>
      <c r="G96" s="46"/>
      <c r="H96" s="46"/>
      <c r="I96" s="46"/>
      <c r="J96" s="46"/>
      <c r="K96" s="48" t="str">
        <f aca="false">IF(W96="","",HYPERLINK(W96,"Simbli"))</f>
        <v/>
      </c>
      <c r="L96" s="48" t="str">
        <f aca="false">IF(X96="","",HYPERLINK(X96,"Simbli"))</f>
        <v/>
      </c>
      <c r="M96" s="46"/>
      <c r="N96" s="46"/>
      <c r="O96" s="46"/>
      <c r="P96" s="46" t="str">
        <f aca="false">IF(OR(A96="",O96=""),"",O96+RegDays)</f>
        <v/>
      </c>
      <c r="Q96" s="46" t="str">
        <f aca="false">IF(A96="","",IF(SUMPRODUCT(MAX((Versions!$B$2:$B$501=A96)*(Versions!$M$2:$M$501="Yes")*ROW(Versions!$B$2:$B$501)))=0,"",INDEX(Versions!$A$1:$A$501,SUMPRODUCT(MAX((Versions!$B$2:$B$501=A96)*(Versions!$M$2:$M$501="Yes")*ROW(Versions!$B$2:$B$501))))))</f>
        <v/>
      </c>
      <c r="R96" s="46" t="str">
        <f aca="false">IF(A96="","",COUNTIF(Comments!$B$2:$B$2001,A96))</f>
        <v/>
      </c>
      <c r="S96" s="46" t="str">
        <f aca="false">IF(A96="","",COUNTIFS(Comments!$B$2:$B$2001,A96,Comments!$N$2:$N$2001,"Open"))</f>
        <v/>
      </c>
      <c r="T96" s="46" t="str">
        <f aca="false">IF(A96="","",COUNTIFS('Deferred edits'!$C$2:$C$201,A96,'Deferred edits'!$G$2:$G$201,"Waiting"))</f>
        <v/>
      </c>
      <c r="U96" s="46" t="str">
        <f aca="false">IF(A96="","",IF(AND(I96&lt;&gt;"",I96&lt;AsOfDate),"▲ Next date passed",IF(AND(I96&lt;&gt;"",I96&lt;=AsOfDate+7),"● Next date within 7 days",IF(AND(P96&lt;&gt;"",P96&lt;AsOfDate,N96&lt;&gt;"Complete"),"▲ Regulation past target",IF(S96&gt;0,"Open comments","")))))</f>
        <v/>
      </c>
      <c r="V96" s="46"/>
      <c r="W96" s="46"/>
      <c r="X96" s="46"/>
    </row>
    <row r="97" customFormat="false" ht="15" hidden="false" customHeight="false" outlineLevel="0" collapsed="false">
      <c r="A97" s="46"/>
      <c r="B97" s="46"/>
      <c r="C97" s="46"/>
      <c r="D97" s="46"/>
      <c r="E97" s="46"/>
      <c r="F97" s="46"/>
      <c r="G97" s="46"/>
      <c r="H97" s="46"/>
      <c r="I97" s="46"/>
      <c r="J97" s="46"/>
      <c r="K97" s="48" t="str">
        <f aca="false">IF(W97="","",HYPERLINK(W97,"Simbli"))</f>
        <v/>
      </c>
      <c r="L97" s="48" t="str">
        <f aca="false">IF(X97="","",HYPERLINK(X97,"Simbli"))</f>
        <v/>
      </c>
      <c r="M97" s="46"/>
      <c r="N97" s="46"/>
      <c r="O97" s="46"/>
      <c r="P97" s="46" t="str">
        <f aca="false">IF(OR(A97="",O97=""),"",O97+RegDays)</f>
        <v/>
      </c>
      <c r="Q97" s="46" t="str">
        <f aca="false">IF(A97="","",IF(SUMPRODUCT(MAX((Versions!$B$2:$B$501=A97)*(Versions!$M$2:$M$501="Yes")*ROW(Versions!$B$2:$B$501)))=0,"",INDEX(Versions!$A$1:$A$501,SUMPRODUCT(MAX((Versions!$B$2:$B$501=A97)*(Versions!$M$2:$M$501="Yes")*ROW(Versions!$B$2:$B$501))))))</f>
        <v/>
      </c>
      <c r="R97" s="46" t="str">
        <f aca="false">IF(A97="","",COUNTIF(Comments!$B$2:$B$2001,A97))</f>
        <v/>
      </c>
      <c r="S97" s="46" t="str">
        <f aca="false">IF(A97="","",COUNTIFS(Comments!$B$2:$B$2001,A97,Comments!$N$2:$N$2001,"Open"))</f>
        <v/>
      </c>
      <c r="T97" s="46" t="str">
        <f aca="false">IF(A97="","",COUNTIFS('Deferred edits'!$C$2:$C$201,A97,'Deferred edits'!$G$2:$G$201,"Waiting"))</f>
        <v/>
      </c>
      <c r="U97" s="46" t="str">
        <f aca="false">IF(A97="","",IF(AND(I97&lt;&gt;"",I97&lt;AsOfDate),"▲ Next date passed",IF(AND(I97&lt;&gt;"",I97&lt;=AsOfDate+7),"● Next date within 7 days",IF(AND(P97&lt;&gt;"",P97&lt;AsOfDate,N97&lt;&gt;"Complete"),"▲ Regulation past target",IF(S97&gt;0,"Open comments","")))))</f>
        <v/>
      </c>
      <c r="V97" s="46"/>
      <c r="W97" s="46"/>
      <c r="X97" s="46"/>
    </row>
    <row r="98" customFormat="false" ht="15" hidden="false" customHeight="false" outlineLevel="0" collapsed="false">
      <c r="A98" s="46"/>
      <c r="B98" s="46"/>
      <c r="C98" s="46"/>
      <c r="D98" s="46"/>
      <c r="E98" s="46"/>
      <c r="F98" s="46"/>
      <c r="G98" s="46"/>
      <c r="H98" s="46"/>
      <c r="I98" s="46"/>
      <c r="J98" s="46"/>
      <c r="K98" s="48" t="str">
        <f aca="false">IF(W98="","",HYPERLINK(W98,"Simbli"))</f>
        <v/>
      </c>
      <c r="L98" s="48" t="str">
        <f aca="false">IF(X98="","",HYPERLINK(X98,"Simbli"))</f>
        <v/>
      </c>
      <c r="M98" s="46"/>
      <c r="N98" s="46"/>
      <c r="O98" s="46"/>
      <c r="P98" s="46" t="str">
        <f aca="false">IF(OR(A98="",O98=""),"",O98+RegDays)</f>
        <v/>
      </c>
      <c r="Q98" s="46" t="str">
        <f aca="false">IF(A98="","",IF(SUMPRODUCT(MAX((Versions!$B$2:$B$501=A98)*(Versions!$M$2:$M$501="Yes")*ROW(Versions!$B$2:$B$501)))=0,"",INDEX(Versions!$A$1:$A$501,SUMPRODUCT(MAX((Versions!$B$2:$B$501=A98)*(Versions!$M$2:$M$501="Yes")*ROW(Versions!$B$2:$B$501))))))</f>
        <v/>
      </c>
      <c r="R98" s="46" t="str">
        <f aca="false">IF(A98="","",COUNTIF(Comments!$B$2:$B$2001,A98))</f>
        <v/>
      </c>
      <c r="S98" s="46" t="str">
        <f aca="false">IF(A98="","",COUNTIFS(Comments!$B$2:$B$2001,A98,Comments!$N$2:$N$2001,"Open"))</f>
        <v/>
      </c>
      <c r="T98" s="46" t="str">
        <f aca="false">IF(A98="","",COUNTIFS('Deferred edits'!$C$2:$C$201,A98,'Deferred edits'!$G$2:$G$201,"Waiting"))</f>
        <v/>
      </c>
      <c r="U98" s="46" t="str">
        <f aca="false">IF(A98="","",IF(AND(I98&lt;&gt;"",I98&lt;AsOfDate),"▲ Next date passed",IF(AND(I98&lt;&gt;"",I98&lt;=AsOfDate+7),"● Next date within 7 days",IF(AND(P98&lt;&gt;"",P98&lt;AsOfDate,N98&lt;&gt;"Complete"),"▲ Regulation past target",IF(S98&gt;0,"Open comments","")))))</f>
        <v/>
      </c>
      <c r="V98" s="46"/>
      <c r="W98" s="46"/>
      <c r="X98" s="46"/>
    </row>
    <row r="99" customFormat="false" ht="15" hidden="false" customHeight="false" outlineLevel="0" collapsed="false">
      <c r="A99" s="46"/>
      <c r="B99" s="46"/>
      <c r="C99" s="46"/>
      <c r="D99" s="46"/>
      <c r="E99" s="46"/>
      <c r="F99" s="46"/>
      <c r="G99" s="46"/>
      <c r="H99" s="46"/>
      <c r="I99" s="46"/>
      <c r="J99" s="46"/>
      <c r="K99" s="48" t="str">
        <f aca="false">IF(W99="","",HYPERLINK(W99,"Simbli"))</f>
        <v/>
      </c>
      <c r="L99" s="48" t="str">
        <f aca="false">IF(X99="","",HYPERLINK(X99,"Simbli"))</f>
        <v/>
      </c>
      <c r="M99" s="46"/>
      <c r="N99" s="46"/>
      <c r="O99" s="46"/>
      <c r="P99" s="46" t="str">
        <f aca="false">IF(OR(A99="",O99=""),"",O99+RegDays)</f>
        <v/>
      </c>
      <c r="Q99" s="46" t="str">
        <f aca="false">IF(A99="","",IF(SUMPRODUCT(MAX((Versions!$B$2:$B$501=A99)*(Versions!$M$2:$M$501="Yes")*ROW(Versions!$B$2:$B$501)))=0,"",INDEX(Versions!$A$1:$A$501,SUMPRODUCT(MAX((Versions!$B$2:$B$501=A99)*(Versions!$M$2:$M$501="Yes")*ROW(Versions!$B$2:$B$501))))))</f>
        <v/>
      </c>
      <c r="R99" s="46" t="str">
        <f aca="false">IF(A99="","",COUNTIF(Comments!$B$2:$B$2001,A99))</f>
        <v/>
      </c>
      <c r="S99" s="46" t="str">
        <f aca="false">IF(A99="","",COUNTIFS(Comments!$B$2:$B$2001,A99,Comments!$N$2:$N$2001,"Open"))</f>
        <v/>
      </c>
      <c r="T99" s="46" t="str">
        <f aca="false">IF(A99="","",COUNTIFS('Deferred edits'!$C$2:$C$201,A99,'Deferred edits'!$G$2:$G$201,"Waiting"))</f>
        <v/>
      </c>
      <c r="U99" s="46" t="str">
        <f aca="false">IF(A99="","",IF(AND(I99&lt;&gt;"",I99&lt;AsOfDate),"▲ Next date passed",IF(AND(I99&lt;&gt;"",I99&lt;=AsOfDate+7),"● Next date within 7 days",IF(AND(P99&lt;&gt;"",P99&lt;AsOfDate,N99&lt;&gt;"Complete"),"▲ Regulation past target",IF(S99&gt;0,"Open comments","")))))</f>
        <v/>
      </c>
      <c r="V99" s="46"/>
      <c r="W99" s="46"/>
      <c r="X99" s="46"/>
    </row>
    <row r="100" customFormat="false" ht="15" hidden="false" customHeight="false" outlineLevel="0" collapsed="false">
      <c r="A100" s="46"/>
      <c r="B100" s="46"/>
      <c r="C100" s="46"/>
      <c r="D100" s="46"/>
      <c r="E100" s="46"/>
      <c r="F100" s="46"/>
      <c r="G100" s="46"/>
      <c r="H100" s="46"/>
      <c r="I100" s="46"/>
      <c r="J100" s="46"/>
      <c r="K100" s="48" t="str">
        <f aca="false">IF(W100="","",HYPERLINK(W100,"Simbli"))</f>
        <v/>
      </c>
      <c r="L100" s="48" t="str">
        <f aca="false">IF(X100="","",HYPERLINK(X100,"Simbli"))</f>
        <v/>
      </c>
      <c r="M100" s="46"/>
      <c r="N100" s="46"/>
      <c r="O100" s="46"/>
      <c r="P100" s="46" t="str">
        <f aca="false">IF(OR(A100="",O100=""),"",O100+RegDays)</f>
        <v/>
      </c>
      <c r="Q100" s="46" t="str">
        <f aca="false">IF(A100="","",IF(SUMPRODUCT(MAX((Versions!$B$2:$B$501=A100)*(Versions!$M$2:$M$501="Yes")*ROW(Versions!$B$2:$B$501)))=0,"",INDEX(Versions!$A$1:$A$501,SUMPRODUCT(MAX((Versions!$B$2:$B$501=A100)*(Versions!$M$2:$M$501="Yes")*ROW(Versions!$B$2:$B$501))))))</f>
        <v/>
      </c>
      <c r="R100" s="46" t="str">
        <f aca="false">IF(A100="","",COUNTIF(Comments!$B$2:$B$2001,A100))</f>
        <v/>
      </c>
      <c r="S100" s="46" t="str">
        <f aca="false">IF(A100="","",COUNTIFS(Comments!$B$2:$B$2001,A100,Comments!$N$2:$N$2001,"Open"))</f>
        <v/>
      </c>
      <c r="T100" s="46" t="str">
        <f aca="false">IF(A100="","",COUNTIFS('Deferred edits'!$C$2:$C$201,A100,'Deferred edits'!$G$2:$G$201,"Waiting"))</f>
        <v/>
      </c>
      <c r="U100" s="46" t="str">
        <f aca="false">IF(A100="","",IF(AND(I100&lt;&gt;"",I100&lt;AsOfDate),"▲ Next date passed",IF(AND(I100&lt;&gt;"",I100&lt;=AsOfDate+7),"● Next date within 7 days",IF(AND(P100&lt;&gt;"",P100&lt;AsOfDate,N100&lt;&gt;"Complete"),"▲ Regulation past target",IF(S100&gt;0,"Open comments","")))))</f>
        <v/>
      </c>
      <c r="V100" s="46"/>
      <c r="W100" s="46"/>
      <c r="X100" s="46"/>
    </row>
    <row r="101" customFormat="false" ht="15" hidden="false" customHeight="false" outlineLevel="0" collapsed="false">
      <c r="A101" s="46"/>
      <c r="B101" s="46"/>
      <c r="C101" s="46"/>
      <c r="D101" s="46"/>
      <c r="E101" s="46"/>
      <c r="F101" s="46"/>
      <c r="G101" s="46"/>
      <c r="H101" s="46"/>
      <c r="I101" s="46"/>
      <c r="J101" s="46"/>
      <c r="K101" s="48" t="str">
        <f aca="false">IF(W101="","",HYPERLINK(W101,"Simbli"))</f>
        <v/>
      </c>
      <c r="L101" s="48" t="str">
        <f aca="false">IF(X101="","",HYPERLINK(X101,"Simbli"))</f>
        <v/>
      </c>
      <c r="M101" s="46"/>
      <c r="N101" s="46"/>
      <c r="O101" s="46"/>
      <c r="P101" s="46" t="str">
        <f aca="false">IF(OR(A101="",O101=""),"",O101+RegDays)</f>
        <v/>
      </c>
      <c r="Q101" s="46" t="str">
        <f aca="false">IF(A101="","",IF(SUMPRODUCT(MAX((Versions!$B$2:$B$501=A101)*(Versions!$M$2:$M$501="Yes")*ROW(Versions!$B$2:$B$501)))=0,"",INDEX(Versions!$A$1:$A$501,SUMPRODUCT(MAX((Versions!$B$2:$B$501=A101)*(Versions!$M$2:$M$501="Yes")*ROW(Versions!$B$2:$B$501))))))</f>
        <v/>
      </c>
      <c r="R101" s="46" t="str">
        <f aca="false">IF(A101="","",COUNTIF(Comments!$B$2:$B$2001,A101))</f>
        <v/>
      </c>
      <c r="S101" s="46" t="str">
        <f aca="false">IF(A101="","",COUNTIFS(Comments!$B$2:$B$2001,A101,Comments!$N$2:$N$2001,"Open"))</f>
        <v/>
      </c>
      <c r="T101" s="46" t="str">
        <f aca="false">IF(A101="","",COUNTIFS('Deferred edits'!$C$2:$C$201,A101,'Deferred edits'!$G$2:$G$201,"Waiting"))</f>
        <v/>
      </c>
      <c r="U101" s="46" t="str">
        <f aca="false">IF(A101="","",IF(AND(I101&lt;&gt;"",I101&lt;AsOfDate),"▲ Next date passed",IF(AND(I101&lt;&gt;"",I101&lt;=AsOfDate+7),"● Next date within 7 days",IF(AND(P101&lt;&gt;"",P101&lt;AsOfDate,N101&lt;&gt;"Complete"),"▲ Regulation past target",IF(S101&gt;0,"Open comments","")))))</f>
        <v/>
      </c>
      <c r="V101" s="46"/>
      <c r="W101" s="46"/>
      <c r="X101" s="46"/>
    </row>
    <row r="102" customFormat="false" ht="15" hidden="false" customHeight="false" outlineLevel="0" collapsed="false">
      <c r="A102" s="46"/>
      <c r="B102" s="46"/>
      <c r="C102" s="46"/>
      <c r="D102" s="46"/>
      <c r="E102" s="46"/>
      <c r="F102" s="46"/>
      <c r="G102" s="46"/>
      <c r="H102" s="46"/>
      <c r="I102" s="46"/>
      <c r="J102" s="46"/>
      <c r="K102" s="48" t="str">
        <f aca="false">IF(W102="","",HYPERLINK(W102,"Simbli"))</f>
        <v/>
      </c>
      <c r="L102" s="48" t="str">
        <f aca="false">IF(X102="","",HYPERLINK(X102,"Simbli"))</f>
        <v/>
      </c>
      <c r="M102" s="46"/>
      <c r="N102" s="46"/>
      <c r="O102" s="46"/>
      <c r="P102" s="46" t="str">
        <f aca="false">IF(OR(A102="",O102=""),"",O102+RegDays)</f>
        <v/>
      </c>
      <c r="Q102" s="46" t="str">
        <f aca="false">IF(A102="","",IF(SUMPRODUCT(MAX((Versions!$B$2:$B$501=A102)*(Versions!$M$2:$M$501="Yes")*ROW(Versions!$B$2:$B$501)))=0,"",INDEX(Versions!$A$1:$A$501,SUMPRODUCT(MAX((Versions!$B$2:$B$501=A102)*(Versions!$M$2:$M$501="Yes")*ROW(Versions!$B$2:$B$501))))))</f>
        <v/>
      </c>
      <c r="R102" s="46" t="str">
        <f aca="false">IF(A102="","",COUNTIF(Comments!$B$2:$B$2001,A102))</f>
        <v/>
      </c>
      <c r="S102" s="46" t="str">
        <f aca="false">IF(A102="","",COUNTIFS(Comments!$B$2:$B$2001,A102,Comments!$N$2:$N$2001,"Open"))</f>
        <v/>
      </c>
      <c r="T102" s="46" t="str">
        <f aca="false">IF(A102="","",COUNTIFS('Deferred edits'!$C$2:$C$201,A102,'Deferred edits'!$G$2:$G$201,"Waiting"))</f>
        <v/>
      </c>
      <c r="U102" s="46" t="str">
        <f aca="false">IF(A102="","",IF(AND(I102&lt;&gt;"",I102&lt;AsOfDate),"▲ Next date passed",IF(AND(I102&lt;&gt;"",I102&lt;=AsOfDate+7),"● Next date within 7 days",IF(AND(P102&lt;&gt;"",P102&lt;AsOfDate,N102&lt;&gt;"Complete"),"▲ Regulation past target",IF(S102&gt;0,"Open comments","")))))</f>
        <v/>
      </c>
      <c r="V102" s="46"/>
      <c r="W102" s="46"/>
      <c r="X102" s="46"/>
    </row>
    <row r="103" customFormat="false" ht="15" hidden="false" customHeight="false" outlineLevel="0" collapsed="false">
      <c r="A103" s="46"/>
      <c r="B103" s="46"/>
      <c r="C103" s="46"/>
      <c r="D103" s="46"/>
      <c r="E103" s="46"/>
      <c r="F103" s="46"/>
      <c r="G103" s="46"/>
      <c r="H103" s="46"/>
      <c r="I103" s="46"/>
      <c r="J103" s="46"/>
      <c r="K103" s="48" t="str">
        <f aca="false">IF(W103="","",HYPERLINK(W103,"Simbli"))</f>
        <v/>
      </c>
      <c r="L103" s="48" t="str">
        <f aca="false">IF(X103="","",HYPERLINK(X103,"Simbli"))</f>
        <v/>
      </c>
      <c r="M103" s="46"/>
      <c r="N103" s="46"/>
      <c r="O103" s="46"/>
      <c r="P103" s="46" t="str">
        <f aca="false">IF(OR(A103="",O103=""),"",O103+RegDays)</f>
        <v/>
      </c>
      <c r="Q103" s="46" t="str">
        <f aca="false">IF(A103="","",IF(SUMPRODUCT(MAX((Versions!$B$2:$B$501=A103)*(Versions!$M$2:$M$501="Yes")*ROW(Versions!$B$2:$B$501)))=0,"",INDEX(Versions!$A$1:$A$501,SUMPRODUCT(MAX((Versions!$B$2:$B$501=A103)*(Versions!$M$2:$M$501="Yes")*ROW(Versions!$B$2:$B$501))))))</f>
        <v/>
      </c>
      <c r="R103" s="46" t="str">
        <f aca="false">IF(A103="","",COUNTIF(Comments!$B$2:$B$2001,A103))</f>
        <v/>
      </c>
      <c r="S103" s="46" t="str">
        <f aca="false">IF(A103="","",COUNTIFS(Comments!$B$2:$B$2001,A103,Comments!$N$2:$N$2001,"Open"))</f>
        <v/>
      </c>
      <c r="T103" s="46" t="str">
        <f aca="false">IF(A103="","",COUNTIFS('Deferred edits'!$C$2:$C$201,A103,'Deferred edits'!$G$2:$G$201,"Waiting"))</f>
        <v/>
      </c>
      <c r="U103" s="46" t="str">
        <f aca="false">IF(A103="","",IF(AND(I103&lt;&gt;"",I103&lt;AsOfDate),"▲ Next date passed",IF(AND(I103&lt;&gt;"",I103&lt;=AsOfDate+7),"● Next date within 7 days",IF(AND(P103&lt;&gt;"",P103&lt;AsOfDate,N103&lt;&gt;"Complete"),"▲ Regulation past target",IF(S103&gt;0,"Open comments","")))))</f>
        <v/>
      </c>
      <c r="V103" s="46"/>
      <c r="W103" s="46"/>
      <c r="X103" s="46"/>
    </row>
    <row r="104" customFormat="false" ht="15" hidden="false" customHeight="false" outlineLevel="0" collapsed="false">
      <c r="A104" s="46"/>
      <c r="B104" s="46"/>
      <c r="C104" s="46"/>
      <c r="D104" s="46"/>
      <c r="E104" s="46"/>
      <c r="F104" s="46"/>
      <c r="G104" s="46"/>
      <c r="H104" s="46"/>
      <c r="I104" s="46"/>
      <c r="J104" s="46"/>
      <c r="K104" s="48" t="str">
        <f aca="false">IF(W104="","",HYPERLINK(W104,"Simbli"))</f>
        <v/>
      </c>
      <c r="L104" s="48" t="str">
        <f aca="false">IF(X104="","",HYPERLINK(X104,"Simbli"))</f>
        <v/>
      </c>
      <c r="M104" s="46"/>
      <c r="N104" s="46"/>
      <c r="O104" s="46"/>
      <c r="P104" s="46" t="str">
        <f aca="false">IF(OR(A104="",O104=""),"",O104+RegDays)</f>
        <v/>
      </c>
      <c r="Q104" s="46" t="str">
        <f aca="false">IF(A104="","",IF(SUMPRODUCT(MAX((Versions!$B$2:$B$501=A104)*(Versions!$M$2:$M$501="Yes")*ROW(Versions!$B$2:$B$501)))=0,"",INDEX(Versions!$A$1:$A$501,SUMPRODUCT(MAX((Versions!$B$2:$B$501=A104)*(Versions!$M$2:$M$501="Yes")*ROW(Versions!$B$2:$B$501))))))</f>
        <v/>
      </c>
      <c r="R104" s="46" t="str">
        <f aca="false">IF(A104="","",COUNTIF(Comments!$B$2:$B$2001,A104))</f>
        <v/>
      </c>
      <c r="S104" s="46" t="str">
        <f aca="false">IF(A104="","",COUNTIFS(Comments!$B$2:$B$2001,A104,Comments!$N$2:$N$2001,"Open"))</f>
        <v/>
      </c>
      <c r="T104" s="46" t="str">
        <f aca="false">IF(A104="","",COUNTIFS('Deferred edits'!$C$2:$C$201,A104,'Deferred edits'!$G$2:$G$201,"Waiting"))</f>
        <v/>
      </c>
      <c r="U104" s="46" t="str">
        <f aca="false">IF(A104="","",IF(AND(I104&lt;&gt;"",I104&lt;AsOfDate),"▲ Next date passed",IF(AND(I104&lt;&gt;"",I104&lt;=AsOfDate+7),"● Next date within 7 days",IF(AND(P104&lt;&gt;"",P104&lt;AsOfDate,N104&lt;&gt;"Complete"),"▲ Regulation past target",IF(S104&gt;0,"Open comments","")))))</f>
        <v/>
      </c>
      <c r="V104" s="46"/>
      <c r="W104" s="46"/>
      <c r="X104" s="46"/>
    </row>
    <row r="105" customFormat="false" ht="15" hidden="false" customHeight="false" outlineLevel="0" collapsed="false">
      <c r="A105" s="46"/>
      <c r="B105" s="46"/>
      <c r="C105" s="46"/>
      <c r="D105" s="46"/>
      <c r="E105" s="46"/>
      <c r="F105" s="46"/>
      <c r="G105" s="46"/>
      <c r="H105" s="46"/>
      <c r="I105" s="46"/>
      <c r="J105" s="46"/>
      <c r="K105" s="48" t="str">
        <f aca="false">IF(W105="","",HYPERLINK(W105,"Simbli"))</f>
        <v/>
      </c>
      <c r="L105" s="48" t="str">
        <f aca="false">IF(X105="","",HYPERLINK(X105,"Simbli"))</f>
        <v/>
      </c>
      <c r="M105" s="46"/>
      <c r="N105" s="46"/>
      <c r="O105" s="46"/>
      <c r="P105" s="46" t="str">
        <f aca="false">IF(OR(A105="",O105=""),"",O105+RegDays)</f>
        <v/>
      </c>
      <c r="Q105" s="46" t="str">
        <f aca="false">IF(A105="","",IF(SUMPRODUCT(MAX((Versions!$B$2:$B$501=A105)*(Versions!$M$2:$M$501="Yes")*ROW(Versions!$B$2:$B$501)))=0,"",INDEX(Versions!$A$1:$A$501,SUMPRODUCT(MAX((Versions!$B$2:$B$501=A105)*(Versions!$M$2:$M$501="Yes")*ROW(Versions!$B$2:$B$501))))))</f>
        <v/>
      </c>
      <c r="R105" s="46" t="str">
        <f aca="false">IF(A105="","",COUNTIF(Comments!$B$2:$B$2001,A105))</f>
        <v/>
      </c>
      <c r="S105" s="46" t="str">
        <f aca="false">IF(A105="","",COUNTIFS(Comments!$B$2:$B$2001,A105,Comments!$N$2:$N$2001,"Open"))</f>
        <v/>
      </c>
      <c r="T105" s="46" t="str">
        <f aca="false">IF(A105="","",COUNTIFS('Deferred edits'!$C$2:$C$201,A105,'Deferred edits'!$G$2:$G$201,"Waiting"))</f>
        <v/>
      </c>
      <c r="U105" s="46" t="str">
        <f aca="false">IF(A105="","",IF(AND(I105&lt;&gt;"",I105&lt;AsOfDate),"▲ Next date passed",IF(AND(I105&lt;&gt;"",I105&lt;=AsOfDate+7),"● Next date within 7 days",IF(AND(P105&lt;&gt;"",P105&lt;AsOfDate,N105&lt;&gt;"Complete"),"▲ Regulation past target",IF(S105&gt;0,"Open comments","")))))</f>
        <v/>
      </c>
      <c r="V105" s="46"/>
      <c r="W105" s="46"/>
      <c r="X105" s="46"/>
    </row>
    <row r="106" customFormat="false" ht="15" hidden="false" customHeight="false" outlineLevel="0" collapsed="false">
      <c r="A106" s="46"/>
      <c r="B106" s="46"/>
      <c r="C106" s="46"/>
      <c r="D106" s="46"/>
      <c r="E106" s="46"/>
      <c r="F106" s="46"/>
      <c r="G106" s="46"/>
      <c r="H106" s="46"/>
      <c r="I106" s="46"/>
      <c r="J106" s="46"/>
      <c r="K106" s="48" t="str">
        <f aca="false">IF(W106="","",HYPERLINK(W106,"Simbli"))</f>
        <v/>
      </c>
      <c r="L106" s="48" t="str">
        <f aca="false">IF(X106="","",HYPERLINK(X106,"Simbli"))</f>
        <v/>
      </c>
      <c r="M106" s="46"/>
      <c r="N106" s="46"/>
      <c r="O106" s="46"/>
      <c r="P106" s="46" t="str">
        <f aca="false">IF(OR(A106="",O106=""),"",O106+RegDays)</f>
        <v/>
      </c>
      <c r="Q106" s="46" t="str">
        <f aca="false">IF(A106="","",IF(SUMPRODUCT(MAX((Versions!$B$2:$B$501=A106)*(Versions!$M$2:$M$501="Yes")*ROW(Versions!$B$2:$B$501)))=0,"",INDEX(Versions!$A$1:$A$501,SUMPRODUCT(MAX((Versions!$B$2:$B$501=A106)*(Versions!$M$2:$M$501="Yes")*ROW(Versions!$B$2:$B$501))))))</f>
        <v/>
      </c>
      <c r="R106" s="46" t="str">
        <f aca="false">IF(A106="","",COUNTIF(Comments!$B$2:$B$2001,A106))</f>
        <v/>
      </c>
      <c r="S106" s="46" t="str">
        <f aca="false">IF(A106="","",COUNTIFS(Comments!$B$2:$B$2001,A106,Comments!$N$2:$N$2001,"Open"))</f>
        <v/>
      </c>
      <c r="T106" s="46" t="str">
        <f aca="false">IF(A106="","",COUNTIFS('Deferred edits'!$C$2:$C$201,A106,'Deferred edits'!$G$2:$G$201,"Waiting"))</f>
        <v/>
      </c>
      <c r="U106" s="46" t="str">
        <f aca="false">IF(A106="","",IF(AND(I106&lt;&gt;"",I106&lt;AsOfDate),"▲ Next date passed",IF(AND(I106&lt;&gt;"",I106&lt;=AsOfDate+7),"● Next date within 7 days",IF(AND(P106&lt;&gt;"",P106&lt;AsOfDate,N106&lt;&gt;"Complete"),"▲ Regulation past target",IF(S106&gt;0,"Open comments","")))))</f>
        <v/>
      </c>
      <c r="V106" s="46"/>
      <c r="W106" s="46"/>
      <c r="X106" s="46"/>
    </row>
    <row r="107" customFormat="false" ht="15" hidden="false" customHeight="false" outlineLevel="0" collapsed="false">
      <c r="A107" s="46"/>
      <c r="B107" s="46"/>
      <c r="C107" s="46"/>
      <c r="D107" s="46"/>
      <c r="E107" s="46"/>
      <c r="F107" s="46"/>
      <c r="G107" s="46"/>
      <c r="H107" s="46"/>
      <c r="I107" s="46"/>
      <c r="J107" s="46"/>
      <c r="K107" s="48" t="str">
        <f aca="false">IF(W107="","",HYPERLINK(W107,"Simbli"))</f>
        <v/>
      </c>
      <c r="L107" s="48" t="str">
        <f aca="false">IF(X107="","",HYPERLINK(X107,"Simbli"))</f>
        <v/>
      </c>
      <c r="M107" s="46"/>
      <c r="N107" s="46"/>
      <c r="O107" s="46"/>
      <c r="P107" s="46" t="str">
        <f aca="false">IF(OR(A107="",O107=""),"",O107+RegDays)</f>
        <v/>
      </c>
      <c r="Q107" s="46" t="str">
        <f aca="false">IF(A107="","",IF(SUMPRODUCT(MAX((Versions!$B$2:$B$501=A107)*(Versions!$M$2:$M$501="Yes")*ROW(Versions!$B$2:$B$501)))=0,"",INDEX(Versions!$A$1:$A$501,SUMPRODUCT(MAX((Versions!$B$2:$B$501=A107)*(Versions!$M$2:$M$501="Yes")*ROW(Versions!$B$2:$B$501))))))</f>
        <v/>
      </c>
      <c r="R107" s="46" t="str">
        <f aca="false">IF(A107="","",COUNTIF(Comments!$B$2:$B$2001,A107))</f>
        <v/>
      </c>
      <c r="S107" s="46" t="str">
        <f aca="false">IF(A107="","",COUNTIFS(Comments!$B$2:$B$2001,A107,Comments!$N$2:$N$2001,"Open"))</f>
        <v/>
      </c>
      <c r="T107" s="46" t="str">
        <f aca="false">IF(A107="","",COUNTIFS('Deferred edits'!$C$2:$C$201,A107,'Deferred edits'!$G$2:$G$201,"Waiting"))</f>
        <v/>
      </c>
      <c r="U107" s="46" t="str">
        <f aca="false">IF(A107="","",IF(AND(I107&lt;&gt;"",I107&lt;AsOfDate),"▲ Next date passed",IF(AND(I107&lt;&gt;"",I107&lt;=AsOfDate+7),"● Next date within 7 days",IF(AND(P107&lt;&gt;"",P107&lt;AsOfDate,N107&lt;&gt;"Complete"),"▲ Regulation past target",IF(S107&gt;0,"Open comments","")))))</f>
        <v/>
      </c>
      <c r="V107" s="46"/>
      <c r="W107" s="46"/>
      <c r="X107" s="46"/>
    </row>
    <row r="108" customFormat="false" ht="15" hidden="false" customHeight="false" outlineLevel="0" collapsed="false">
      <c r="A108" s="46"/>
      <c r="B108" s="46"/>
      <c r="C108" s="46"/>
      <c r="D108" s="46"/>
      <c r="E108" s="46"/>
      <c r="F108" s="46"/>
      <c r="G108" s="46"/>
      <c r="H108" s="46"/>
      <c r="I108" s="46"/>
      <c r="J108" s="46"/>
      <c r="K108" s="48" t="str">
        <f aca="false">IF(W108="","",HYPERLINK(W108,"Simbli"))</f>
        <v/>
      </c>
      <c r="L108" s="48" t="str">
        <f aca="false">IF(X108="","",HYPERLINK(X108,"Simbli"))</f>
        <v/>
      </c>
      <c r="M108" s="46"/>
      <c r="N108" s="46"/>
      <c r="O108" s="46"/>
      <c r="P108" s="46" t="str">
        <f aca="false">IF(OR(A108="",O108=""),"",O108+RegDays)</f>
        <v/>
      </c>
      <c r="Q108" s="46" t="str">
        <f aca="false">IF(A108="","",IF(SUMPRODUCT(MAX((Versions!$B$2:$B$501=A108)*(Versions!$M$2:$M$501="Yes")*ROW(Versions!$B$2:$B$501)))=0,"",INDEX(Versions!$A$1:$A$501,SUMPRODUCT(MAX((Versions!$B$2:$B$501=A108)*(Versions!$M$2:$M$501="Yes")*ROW(Versions!$B$2:$B$501))))))</f>
        <v/>
      </c>
      <c r="R108" s="46" t="str">
        <f aca="false">IF(A108="","",COUNTIF(Comments!$B$2:$B$2001,A108))</f>
        <v/>
      </c>
      <c r="S108" s="46" t="str">
        <f aca="false">IF(A108="","",COUNTIFS(Comments!$B$2:$B$2001,A108,Comments!$N$2:$N$2001,"Open"))</f>
        <v/>
      </c>
      <c r="T108" s="46" t="str">
        <f aca="false">IF(A108="","",COUNTIFS('Deferred edits'!$C$2:$C$201,A108,'Deferred edits'!$G$2:$G$201,"Waiting"))</f>
        <v/>
      </c>
      <c r="U108" s="46" t="str">
        <f aca="false">IF(A108="","",IF(AND(I108&lt;&gt;"",I108&lt;AsOfDate),"▲ Next date passed",IF(AND(I108&lt;&gt;"",I108&lt;=AsOfDate+7),"● Next date within 7 days",IF(AND(P108&lt;&gt;"",P108&lt;AsOfDate,N108&lt;&gt;"Complete"),"▲ Regulation past target",IF(S108&gt;0,"Open comments","")))))</f>
        <v/>
      </c>
      <c r="V108" s="46"/>
      <c r="W108" s="46"/>
      <c r="X108" s="46"/>
    </row>
    <row r="109" customFormat="false" ht="15" hidden="false" customHeight="false" outlineLevel="0" collapsed="false">
      <c r="A109" s="46"/>
      <c r="B109" s="46"/>
      <c r="C109" s="46"/>
      <c r="D109" s="46"/>
      <c r="E109" s="46"/>
      <c r="F109" s="46"/>
      <c r="G109" s="46"/>
      <c r="H109" s="46"/>
      <c r="I109" s="46"/>
      <c r="J109" s="46"/>
      <c r="K109" s="48" t="str">
        <f aca="false">IF(W109="","",HYPERLINK(W109,"Simbli"))</f>
        <v/>
      </c>
      <c r="L109" s="48" t="str">
        <f aca="false">IF(X109="","",HYPERLINK(X109,"Simbli"))</f>
        <v/>
      </c>
      <c r="M109" s="46"/>
      <c r="N109" s="46"/>
      <c r="O109" s="46"/>
      <c r="P109" s="46" t="str">
        <f aca="false">IF(OR(A109="",O109=""),"",O109+RegDays)</f>
        <v/>
      </c>
      <c r="Q109" s="46" t="str">
        <f aca="false">IF(A109="","",IF(SUMPRODUCT(MAX((Versions!$B$2:$B$501=A109)*(Versions!$M$2:$M$501="Yes")*ROW(Versions!$B$2:$B$501)))=0,"",INDEX(Versions!$A$1:$A$501,SUMPRODUCT(MAX((Versions!$B$2:$B$501=A109)*(Versions!$M$2:$M$501="Yes")*ROW(Versions!$B$2:$B$501))))))</f>
        <v/>
      </c>
      <c r="R109" s="46" t="str">
        <f aca="false">IF(A109="","",COUNTIF(Comments!$B$2:$B$2001,A109))</f>
        <v/>
      </c>
      <c r="S109" s="46" t="str">
        <f aca="false">IF(A109="","",COUNTIFS(Comments!$B$2:$B$2001,A109,Comments!$N$2:$N$2001,"Open"))</f>
        <v/>
      </c>
      <c r="T109" s="46" t="str">
        <f aca="false">IF(A109="","",COUNTIFS('Deferred edits'!$C$2:$C$201,A109,'Deferred edits'!$G$2:$G$201,"Waiting"))</f>
        <v/>
      </c>
      <c r="U109" s="46" t="str">
        <f aca="false">IF(A109="","",IF(AND(I109&lt;&gt;"",I109&lt;AsOfDate),"▲ Next date passed",IF(AND(I109&lt;&gt;"",I109&lt;=AsOfDate+7),"● Next date within 7 days",IF(AND(P109&lt;&gt;"",P109&lt;AsOfDate,N109&lt;&gt;"Complete"),"▲ Regulation past target",IF(S109&gt;0,"Open comments","")))))</f>
        <v/>
      </c>
      <c r="V109" s="46"/>
      <c r="W109" s="46"/>
      <c r="X109" s="46"/>
    </row>
    <row r="110" customFormat="false" ht="15" hidden="false" customHeight="false" outlineLevel="0" collapsed="false">
      <c r="A110" s="46"/>
      <c r="B110" s="46"/>
      <c r="C110" s="46"/>
      <c r="D110" s="46"/>
      <c r="E110" s="46"/>
      <c r="F110" s="46"/>
      <c r="G110" s="46"/>
      <c r="H110" s="46"/>
      <c r="I110" s="46"/>
      <c r="J110" s="46"/>
      <c r="K110" s="48" t="str">
        <f aca="false">IF(W110="","",HYPERLINK(W110,"Simbli"))</f>
        <v/>
      </c>
      <c r="L110" s="48" t="str">
        <f aca="false">IF(X110="","",HYPERLINK(X110,"Simbli"))</f>
        <v/>
      </c>
      <c r="M110" s="46"/>
      <c r="N110" s="46"/>
      <c r="O110" s="46"/>
      <c r="P110" s="46" t="str">
        <f aca="false">IF(OR(A110="",O110=""),"",O110+RegDays)</f>
        <v/>
      </c>
      <c r="Q110" s="46" t="str">
        <f aca="false">IF(A110="","",IF(SUMPRODUCT(MAX((Versions!$B$2:$B$501=A110)*(Versions!$M$2:$M$501="Yes")*ROW(Versions!$B$2:$B$501)))=0,"",INDEX(Versions!$A$1:$A$501,SUMPRODUCT(MAX((Versions!$B$2:$B$501=A110)*(Versions!$M$2:$M$501="Yes")*ROW(Versions!$B$2:$B$501))))))</f>
        <v/>
      </c>
      <c r="R110" s="46" t="str">
        <f aca="false">IF(A110="","",COUNTIF(Comments!$B$2:$B$2001,A110))</f>
        <v/>
      </c>
      <c r="S110" s="46" t="str">
        <f aca="false">IF(A110="","",COUNTIFS(Comments!$B$2:$B$2001,A110,Comments!$N$2:$N$2001,"Open"))</f>
        <v/>
      </c>
      <c r="T110" s="46" t="str">
        <f aca="false">IF(A110="","",COUNTIFS('Deferred edits'!$C$2:$C$201,A110,'Deferred edits'!$G$2:$G$201,"Waiting"))</f>
        <v/>
      </c>
      <c r="U110" s="46" t="str">
        <f aca="false">IF(A110="","",IF(AND(I110&lt;&gt;"",I110&lt;AsOfDate),"▲ Next date passed",IF(AND(I110&lt;&gt;"",I110&lt;=AsOfDate+7),"● Next date within 7 days",IF(AND(P110&lt;&gt;"",P110&lt;AsOfDate,N110&lt;&gt;"Complete"),"▲ Regulation past target",IF(S110&gt;0,"Open comments","")))))</f>
        <v/>
      </c>
      <c r="V110" s="46"/>
      <c r="W110" s="46"/>
      <c r="X110" s="46"/>
    </row>
    <row r="111" customFormat="false" ht="15" hidden="false" customHeight="false" outlineLevel="0" collapsed="false">
      <c r="A111" s="46"/>
      <c r="B111" s="46"/>
      <c r="C111" s="46"/>
      <c r="D111" s="46"/>
      <c r="E111" s="46"/>
      <c r="F111" s="46"/>
      <c r="G111" s="46"/>
      <c r="H111" s="46"/>
      <c r="I111" s="46"/>
      <c r="J111" s="46"/>
      <c r="K111" s="48" t="str">
        <f aca="false">IF(W111="","",HYPERLINK(W111,"Simbli"))</f>
        <v/>
      </c>
      <c r="L111" s="48" t="str">
        <f aca="false">IF(X111="","",HYPERLINK(X111,"Simbli"))</f>
        <v/>
      </c>
      <c r="M111" s="46"/>
      <c r="N111" s="46"/>
      <c r="O111" s="46"/>
      <c r="P111" s="46" t="str">
        <f aca="false">IF(OR(A111="",O111=""),"",O111+RegDays)</f>
        <v/>
      </c>
      <c r="Q111" s="46" t="str">
        <f aca="false">IF(A111="","",IF(SUMPRODUCT(MAX((Versions!$B$2:$B$501=A111)*(Versions!$M$2:$M$501="Yes")*ROW(Versions!$B$2:$B$501)))=0,"",INDEX(Versions!$A$1:$A$501,SUMPRODUCT(MAX((Versions!$B$2:$B$501=A111)*(Versions!$M$2:$M$501="Yes")*ROW(Versions!$B$2:$B$501))))))</f>
        <v/>
      </c>
      <c r="R111" s="46" t="str">
        <f aca="false">IF(A111="","",COUNTIF(Comments!$B$2:$B$2001,A111))</f>
        <v/>
      </c>
      <c r="S111" s="46" t="str">
        <f aca="false">IF(A111="","",COUNTIFS(Comments!$B$2:$B$2001,A111,Comments!$N$2:$N$2001,"Open"))</f>
        <v/>
      </c>
      <c r="T111" s="46" t="str">
        <f aca="false">IF(A111="","",COUNTIFS('Deferred edits'!$C$2:$C$201,A111,'Deferred edits'!$G$2:$G$201,"Waiting"))</f>
        <v/>
      </c>
      <c r="U111" s="46" t="str">
        <f aca="false">IF(A111="","",IF(AND(I111&lt;&gt;"",I111&lt;AsOfDate),"▲ Next date passed",IF(AND(I111&lt;&gt;"",I111&lt;=AsOfDate+7),"● Next date within 7 days",IF(AND(P111&lt;&gt;"",P111&lt;AsOfDate,N111&lt;&gt;"Complete"),"▲ Regulation past target",IF(S111&gt;0,"Open comments","")))))</f>
        <v/>
      </c>
      <c r="V111" s="46"/>
      <c r="W111" s="46"/>
      <c r="X111" s="46"/>
    </row>
    <row r="112" customFormat="false" ht="15" hidden="false" customHeight="false" outlineLevel="0" collapsed="false">
      <c r="A112" s="46"/>
      <c r="B112" s="46"/>
      <c r="C112" s="46"/>
      <c r="D112" s="46"/>
      <c r="E112" s="46"/>
      <c r="F112" s="46"/>
      <c r="G112" s="46"/>
      <c r="H112" s="46"/>
      <c r="I112" s="46"/>
      <c r="J112" s="46"/>
      <c r="K112" s="48" t="str">
        <f aca="false">IF(W112="","",HYPERLINK(W112,"Simbli"))</f>
        <v/>
      </c>
      <c r="L112" s="48" t="str">
        <f aca="false">IF(X112="","",HYPERLINK(X112,"Simbli"))</f>
        <v/>
      </c>
      <c r="M112" s="46"/>
      <c r="N112" s="46"/>
      <c r="O112" s="46"/>
      <c r="P112" s="46" t="str">
        <f aca="false">IF(OR(A112="",O112=""),"",O112+RegDays)</f>
        <v/>
      </c>
      <c r="Q112" s="46" t="str">
        <f aca="false">IF(A112="","",IF(SUMPRODUCT(MAX((Versions!$B$2:$B$501=A112)*(Versions!$M$2:$M$501="Yes")*ROW(Versions!$B$2:$B$501)))=0,"",INDEX(Versions!$A$1:$A$501,SUMPRODUCT(MAX((Versions!$B$2:$B$501=A112)*(Versions!$M$2:$M$501="Yes")*ROW(Versions!$B$2:$B$501))))))</f>
        <v/>
      </c>
      <c r="R112" s="46" t="str">
        <f aca="false">IF(A112="","",COUNTIF(Comments!$B$2:$B$2001,A112))</f>
        <v/>
      </c>
      <c r="S112" s="46" t="str">
        <f aca="false">IF(A112="","",COUNTIFS(Comments!$B$2:$B$2001,A112,Comments!$N$2:$N$2001,"Open"))</f>
        <v/>
      </c>
      <c r="T112" s="46" t="str">
        <f aca="false">IF(A112="","",COUNTIFS('Deferred edits'!$C$2:$C$201,A112,'Deferred edits'!$G$2:$G$201,"Waiting"))</f>
        <v/>
      </c>
      <c r="U112" s="46" t="str">
        <f aca="false">IF(A112="","",IF(AND(I112&lt;&gt;"",I112&lt;AsOfDate),"▲ Next date passed",IF(AND(I112&lt;&gt;"",I112&lt;=AsOfDate+7),"● Next date within 7 days",IF(AND(P112&lt;&gt;"",P112&lt;AsOfDate,N112&lt;&gt;"Complete"),"▲ Regulation past target",IF(S112&gt;0,"Open comments","")))))</f>
        <v/>
      </c>
      <c r="V112" s="46"/>
      <c r="W112" s="46"/>
      <c r="X112" s="46"/>
    </row>
    <row r="113" customFormat="false" ht="15" hidden="false" customHeight="false" outlineLevel="0" collapsed="false">
      <c r="A113" s="46"/>
      <c r="B113" s="46"/>
      <c r="C113" s="46"/>
      <c r="D113" s="46"/>
      <c r="E113" s="46"/>
      <c r="F113" s="46"/>
      <c r="G113" s="46"/>
      <c r="H113" s="46"/>
      <c r="I113" s="46"/>
      <c r="J113" s="46"/>
      <c r="K113" s="48" t="str">
        <f aca="false">IF(W113="","",HYPERLINK(W113,"Simbli"))</f>
        <v/>
      </c>
      <c r="L113" s="48" t="str">
        <f aca="false">IF(X113="","",HYPERLINK(X113,"Simbli"))</f>
        <v/>
      </c>
      <c r="M113" s="46"/>
      <c r="N113" s="46"/>
      <c r="O113" s="46"/>
      <c r="P113" s="46" t="str">
        <f aca="false">IF(OR(A113="",O113=""),"",O113+RegDays)</f>
        <v/>
      </c>
      <c r="Q113" s="46" t="str">
        <f aca="false">IF(A113="","",IF(SUMPRODUCT(MAX((Versions!$B$2:$B$501=A113)*(Versions!$M$2:$M$501="Yes")*ROW(Versions!$B$2:$B$501)))=0,"",INDEX(Versions!$A$1:$A$501,SUMPRODUCT(MAX((Versions!$B$2:$B$501=A113)*(Versions!$M$2:$M$501="Yes")*ROW(Versions!$B$2:$B$501))))))</f>
        <v/>
      </c>
      <c r="R113" s="46" t="str">
        <f aca="false">IF(A113="","",COUNTIF(Comments!$B$2:$B$2001,A113))</f>
        <v/>
      </c>
      <c r="S113" s="46" t="str">
        <f aca="false">IF(A113="","",COUNTIFS(Comments!$B$2:$B$2001,A113,Comments!$N$2:$N$2001,"Open"))</f>
        <v/>
      </c>
      <c r="T113" s="46" t="str">
        <f aca="false">IF(A113="","",COUNTIFS('Deferred edits'!$C$2:$C$201,A113,'Deferred edits'!$G$2:$G$201,"Waiting"))</f>
        <v/>
      </c>
      <c r="U113" s="46" t="str">
        <f aca="false">IF(A113="","",IF(AND(I113&lt;&gt;"",I113&lt;AsOfDate),"▲ Next date passed",IF(AND(I113&lt;&gt;"",I113&lt;=AsOfDate+7),"● Next date within 7 days",IF(AND(P113&lt;&gt;"",P113&lt;AsOfDate,N113&lt;&gt;"Complete"),"▲ Regulation past target",IF(S113&gt;0,"Open comments","")))))</f>
        <v/>
      </c>
      <c r="V113" s="46"/>
      <c r="W113" s="46"/>
      <c r="X113" s="46"/>
    </row>
    <row r="114" customFormat="false" ht="15" hidden="false" customHeight="false" outlineLevel="0" collapsed="false">
      <c r="A114" s="46"/>
      <c r="B114" s="46"/>
      <c r="C114" s="46"/>
      <c r="D114" s="46"/>
      <c r="E114" s="46"/>
      <c r="F114" s="46"/>
      <c r="G114" s="46"/>
      <c r="H114" s="46"/>
      <c r="I114" s="46"/>
      <c r="J114" s="46"/>
      <c r="K114" s="48" t="str">
        <f aca="false">IF(W114="","",HYPERLINK(W114,"Simbli"))</f>
        <v/>
      </c>
      <c r="L114" s="48" t="str">
        <f aca="false">IF(X114="","",HYPERLINK(X114,"Simbli"))</f>
        <v/>
      </c>
      <c r="M114" s="46"/>
      <c r="N114" s="46"/>
      <c r="O114" s="46"/>
      <c r="P114" s="46" t="str">
        <f aca="false">IF(OR(A114="",O114=""),"",O114+RegDays)</f>
        <v/>
      </c>
      <c r="Q114" s="46" t="str">
        <f aca="false">IF(A114="","",IF(SUMPRODUCT(MAX((Versions!$B$2:$B$501=A114)*(Versions!$M$2:$M$501="Yes")*ROW(Versions!$B$2:$B$501)))=0,"",INDEX(Versions!$A$1:$A$501,SUMPRODUCT(MAX((Versions!$B$2:$B$501=A114)*(Versions!$M$2:$M$501="Yes")*ROW(Versions!$B$2:$B$501))))))</f>
        <v/>
      </c>
      <c r="R114" s="46" t="str">
        <f aca="false">IF(A114="","",COUNTIF(Comments!$B$2:$B$2001,A114))</f>
        <v/>
      </c>
      <c r="S114" s="46" t="str">
        <f aca="false">IF(A114="","",COUNTIFS(Comments!$B$2:$B$2001,A114,Comments!$N$2:$N$2001,"Open"))</f>
        <v/>
      </c>
      <c r="T114" s="46" t="str">
        <f aca="false">IF(A114="","",COUNTIFS('Deferred edits'!$C$2:$C$201,A114,'Deferred edits'!$G$2:$G$201,"Waiting"))</f>
        <v/>
      </c>
      <c r="U114" s="46" t="str">
        <f aca="false">IF(A114="","",IF(AND(I114&lt;&gt;"",I114&lt;AsOfDate),"▲ Next date passed",IF(AND(I114&lt;&gt;"",I114&lt;=AsOfDate+7),"● Next date within 7 days",IF(AND(P114&lt;&gt;"",P114&lt;AsOfDate,N114&lt;&gt;"Complete"),"▲ Regulation past target",IF(S114&gt;0,"Open comments","")))))</f>
        <v/>
      </c>
      <c r="V114" s="46"/>
      <c r="W114" s="46"/>
      <c r="X114" s="46"/>
    </row>
    <row r="115" customFormat="false" ht="15" hidden="false" customHeight="false" outlineLevel="0" collapsed="false">
      <c r="A115" s="46"/>
      <c r="B115" s="46"/>
      <c r="C115" s="46"/>
      <c r="D115" s="46"/>
      <c r="E115" s="46"/>
      <c r="F115" s="46"/>
      <c r="G115" s="46"/>
      <c r="H115" s="46"/>
      <c r="I115" s="46"/>
      <c r="J115" s="46"/>
      <c r="K115" s="48" t="str">
        <f aca="false">IF(W115="","",HYPERLINK(W115,"Simbli"))</f>
        <v/>
      </c>
      <c r="L115" s="48" t="str">
        <f aca="false">IF(X115="","",HYPERLINK(X115,"Simbli"))</f>
        <v/>
      </c>
      <c r="M115" s="46"/>
      <c r="N115" s="46"/>
      <c r="O115" s="46"/>
      <c r="P115" s="46" t="str">
        <f aca="false">IF(OR(A115="",O115=""),"",O115+RegDays)</f>
        <v/>
      </c>
      <c r="Q115" s="46" t="str">
        <f aca="false">IF(A115="","",IF(SUMPRODUCT(MAX((Versions!$B$2:$B$501=A115)*(Versions!$M$2:$M$501="Yes")*ROW(Versions!$B$2:$B$501)))=0,"",INDEX(Versions!$A$1:$A$501,SUMPRODUCT(MAX((Versions!$B$2:$B$501=A115)*(Versions!$M$2:$M$501="Yes")*ROW(Versions!$B$2:$B$501))))))</f>
        <v/>
      </c>
      <c r="R115" s="46" t="str">
        <f aca="false">IF(A115="","",COUNTIF(Comments!$B$2:$B$2001,A115))</f>
        <v/>
      </c>
      <c r="S115" s="46" t="str">
        <f aca="false">IF(A115="","",COUNTIFS(Comments!$B$2:$B$2001,A115,Comments!$N$2:$N$2001,"Open"))</f>
        <v/>
      </c>
      <c r="T115" s="46" t="str">
        <f aca="false">IF(A115="","",COUNTIFS('Deferred edits'!$C$2:$C$201,A115,'Deferred edits'!$G$2:$G$201,"Waiting"))</f>
        <v/>
      </c>
      <c r="U115" s="46" t="str">
        <f aca="false">IF(A115="","",IF(AND(I115&lt;&gt;"",I115&lt;AsOfDate),"▲ Next date passed",IF(AND(I115&lt;&gt;"",I115&lt;=AsOfDate+7),"● Next date within 7 days",IF(AND(P115&lt;&gt;"",P115&lt;AsOfDate,N115&lt;&gt;"Complete"),"▲ Regulation past target",IF(S115&gt;0,"Open comments","")))))</f>
        <v/>
      </c>
      <c r="V115" s="46"/>
      <c r="W115" s="46"/>
      <c r="X115" s="46"/>
    </row>
    <row r="116" customFormat="false" ht="15" hidden="false" customHeight="false" outlineLevel="0" collapsed="false">
      <c r="A116" s="46"/>
      <c r="B116" s="46"/>
      <c r="C116" s="46"/>
      <c r="D116" s="46"/>
      <c r="E116" s="46"/>
      <c r="F116" s="46"/>
      <c r="G116" s="46"/>
      <c r="H116" s="46"/>
      <c r="I116" s="46"/>
      <c r="J116" s="46"/>
      <c r="K116" s="48" t="str">
        <f aca="false">IF(W116="","",HYPERLINK(W116,"Simbli"))</f>
        <v/>
      </c>
      <c r="L116" s="48" t="str">
        <f aca="false">IF(X116="","",HYPERLINK(X116,"Simbli"))</f>
        <v/>
      </c>
      <c r="M116" s="46"/>
      <c r="N116" s="46"/>
      <c r="O116" s="46"/>
      <c r="P116" s="46" t="str">
        <f aca="false">IF(OR(A116="",O116=""),"",O116+RegDays)</f>
        <v/>
      </c>
      <c r="Q116" s="46" t="str">
        <f aca="false">IF(A116="","",IF(SUMPRODUCT(MAX((Versions!$B$2:$B$501=A116)*(Versions!$M$2:$M$501="Yes")*ROW(Versions!$B$2:$B$501)))=0,"",INDEX(Versions!$A$1:$A$501,SUMPRODUCT(MAX((Versions!$B$2:$B$501=A116)*(Versions!$M$2:$M$501="Yes")*ROW(Versions!$B$2:$B$501))))))</f>
        <v/>
      </c>
      <c r="R116" s="46" t="str">
        <f aca="false">IF(A116="","",COUNTIF(Comments!$B$2:$B$2001,A116))</f>
        <v/>
      </c>
      <c r="S116" s="46" t="str">
        <f aca="false">IF(A116="","",COUNTIFS(Comments!$B$2:$B$2001,A116,Comments!$N$2:$N$2001,"Open"))</f>
        <v/>
      </c>
      <c r="T116" s="46" t="str">
        <f aca="false">IF(A116="","",COUNTIFS('Deferred edits'!$C$2:$C$201,A116,'Deferred edits'!$G$2:$G$201,"Waiting"))</f>
        <v/>
      </c>
      <c r="U116" s="46" t="str">
        <f aca="false">IF(A116="","",IF(AND(I116&lt;&gt;"",I116&lt;AsOfDate),"▲ Next date passed",IF(AND(I116&lt;&gt;"",I116&lt;=AsOfDate+7),"● Next date within 7 days",IF(AND(P116&lt;&gt;"",P116&lt;AsOfDate,N116&lt;&gt;"Complete"),"▲ Regulation past target",IF(S116&gt;0,"Open comments","")))))</f>
        <v/>
      </c>
      <c r="V116" s="46"/>
      <c r="W116" s="46"/>
      <c r="X116" s="46"/>
    </row>
    <row r="117" customFormat="false" ht="15" hidden="false" customHeight="false" outlineLevel="0" collapsed="false">
      <c r="A117" s="46"/>
      <c r="B117" s="46"/>
      <c r="C117" s="46"/>
      <c r="D117" s="46"/>
      <c r="E117" s="46"/>
      <c r="F117" s="46"/>
      <c r="G117" s="46"/>
      <c r="H117" s="46"/>
      <c r="I117" s="46"/>
      <c r="J117" s="46"/>
      <c r="K117" s="48" t="str">
        <f aca="false">IF(W117="","",HYPERLINK(W117,"Simbli"))</f>
        <v/>
      </c>
      <c r="L117" s="48" t="str">
        <f aca="false">IF(X117="","",HYPERLINK(X117,"Simbli"))</f>
        <v/>
      </c>
      <c r="M117" s="46"/>
      <c r="N117" s="46"/>
      <c r="O117" s="46"/>
      <c r="P117" s="46" t="str">
        <f aca="false">IF(OR(A117="",O117=""),"",O117+RegDays)</f>
        <v/>
      </c>
      <c r="Q117" s="46" t="str">
        <f aca="false">IF(A117="","",IF(SUMPRODUCT(MAX((Versions!$B$2:$B$501=A117)*(Versions!$M$2:$M$501="Yes")*ROW(Versions!$B$2:$B$501)))=0,"",INDEX(Versions!$A$1:$A$501,SUMPRODUCT(MAX((Versions!$B$2:$B$501=A117)*(Versions!$M$2:$M$501="Yes")*ROW(Versions!$B$2:$B$501))))))</f>
        <v/>
      </c>
      <c r="R117" s="46" t="str">
        <f aca="false">IF(A117="","",COUNTIF(Comments!$B$2:$B$2001,A117))</f>
        <v/>
      </c>
      <c r="S117" s="46" t="str">
        <f aca="false">IF(A117="","",COUNTIFS(Comments!$B$2:$B$2001,A117,Comments!$N$2:$N$2001,"Open"))</f>
        <v/>
      </c>
      <c r="T117" s="46" t="str">
        <f aca="false">IF(A117="","",COUNTIFS('Deferred edits'!$C$2:$C$201,A117,'Deferred edits'!$G$2:$G$201,"Waiting"))</f>
        <v/>
      </c>
      <c r="U117" s="46" t="str">
        <f aca="false">IF(A117="","",IF(AND(I117&lt;&gt;"",I117&lt;AsOfDate),"▲ Next date passed",IF(AND(I117&lt;&gt;"",I117&lt;=AsOfDate+7),"● Next date within 7 days",IF(AND(P117&lt;&gt;"",P117&lt;AsOfDate,N117&lt;&gt;"Complete"),"▲ Regulation past target",IF(S117&gt;0,"Open comments","")))))</f>
        <v/>
      </c>
      <c r="V117" s="46"/>
      <c r="W117" s="46"/>
      <c r="X117" s="46"/>
    </row>
    <row r="118" customFormat="false" ht="15" hidden="false" customHeight="false" outlineLevel="0" collapsed="false">
      <c r="A118" s="46"/>
      <c r="B118" s="46"/>
      <c r="C118" s="46"/>
      <c r="D118" s="46"/>
      <c r="E118" s="46"/>
      <c r="F118" s="46"/>
      <c r="G118" s="46"/>
      <c r="H118" s="46"/>
      <c r="I118" s="46"/>
      <c r="J118" s="46"/>
      <c r="K118" s="48" t="str">
        <f aca="false">IF(W118="","",HYPERLINK(W118,"Simbli"))</f>
        <v/>
      </c>
      <c r="L118" s="48" t="str">
        <f aca="false">IF(X118="","",HYPERLINK(X118,"Simbli"))</f>
        <v/>
      </c>
      <c r="M118" s="46"/>
      <c r="N118" s="46"/>
      <c r="O118" s="46"/>
      <c r="P118" s="46" t="str">
        <f aca="false">IF(OR(A118="",O118=""),"",O118+RegDays)</f>
        <v/>
      </c>
      <c r="Q118" s="46" t="str">
        <f aca="false">IF(A118="","",IF(SUMPRODUCT(MAX((Versions!$B$2:$B$501=A118)*(Versions!$M$2:$M$501="Yes")*ROW(Versions!$B$2:$B$501)))=0,"",INDEX(Versions!$A$1:$A$501,SUMPRODUCT(MAX((Versions!$B$2:$B$501=A118)*(Versions!$M$2:$M$501="Yes")*ROW(Versions!$B$2:$B$501))))))</f>
        <v/>
      </c>
      <c r="R118" s="46" t="str">
        <f aca="false">IF(A118="","",COUNTIF(Comments!$B$2:$B$2001,A118))</f>
        <v/>
      </c>
      <c r="S118" s="46" t="str">
        <f aca="false">IF(A118="","",COUNTIFS(Comments!$B$2:$B$2001,A118,Comments!$N$2:$N$2001,"Open"))</f>
        <v/>
      </c>
      <c r="T118" s="46" t="str">
        <f aca="false">IF(A118="","",COUNTIFS('Deferred edits'!$C$2:$C$201,A118,'Deferred edits'!$G$2:$G$201,"Waiting"))</f>
        <v/>
      </c>
      <c r="U118" s="46" t="str">
        <f aca="false">IF(A118="","",IF(AND(I118&lt;&gt;"",I118&lt;AsOfDate),"▲ Next date passed",IF(AND(I118&lt;&gt;"",I118&lt;=AsOfDate+7),"● Next date within 7 days",IF(AND(P118&lt;&gt;"",P118&lt;AsOfDate,N118&lt;&gt;"Complete"),"▲ Regulation past target",IF(S118&gt;0,"Open comments","")))))</f>
        <v/>
      </c>
      <c r="V118" s="46"/>
      <c r="W118" s="46"/>
      <c r="X118" s="46"/>
    </row>
    <row r="119" customFormat="false" ht="15" hidden="false" customHeight="false" outlineLevel="0" collapsed="false">
      <c r="A119" s="46"/>
      <c r="B119" s="46"/>
      <c r="C119" s="46"/>
      <c r="D119" s="46"/>
      <c r="E119" s="46"/>
      <c r="F119" s="46"/>
      <c r="G119" s="46"/>
      <c r="H119" s="46"/>
      <c r="I119" s="46"/>
      <c r="J119" s="46"/>
      <c r="K119" s="48" t="str">
        <f aca="false">IF(W119="","",HYPERLINK(W119,"Simbli"))</f>
        <v/>
      </c>
      <c r="L119" s="48" t="str">
        <f aca="false">IF(X119="","",HYPERLINK(X119,"Simbli"))</f>
        <v/>
      </c>
      <c r="M119" s="46"/>
      <c r="N119" s="46"/>
      <c r="O119" s="46"/>
      <c r="P119" s="46" t="str">
        <f aca="false">IF(OR(A119="",O119=""),"",O119+RegDays)</f>
        <v/>
      </c>
      <c r="Q119" s="46" t="str">
        <f aca="false">IF(A119="","",IF(SUMPRODUCT(MAX((Versions!$B$2:$B$501=A119)*(Versions!$M$2:$M$501="Yes")*ROW(Versions!$B$2:$B$501)))=0,"",INDEX(Versions!$A$1:$A$501,SUMPRODUCT(MAX((Versions!$B$2:$B$501=A119)*(Versions!$M$2:$M$501="Yes")*ROW(Versions!$B$2:$B$501))))))</f>
        <v/>
      </c>
      <c r="R119" s="46" t="str">
        <f aca="false">IF(A119="","",COUNTIF(Comments!$B$2:$B$2001,A119))</f>
        <v/>
      </c>
      <c r="S119" s="46" t="str">
        <f aca="false">IF(A119="","",COUNTIFS(Comments!$B$2:$B$2001,A119,Comments!$N$2:$N$2001,"Open"))</f>
        <v/>
      </c>
      <c r="T119" s="46" t="str">
        <f aca="false">IF(A119="","",COUNTIFS('Deferred edits'!$C$2:$C$201,A119,'Deferred edits'!$G$2:$G$201,"Waiting"))</f>
        <v/>
      </c>
      <c r="U119" s="46" t="str">
        <f aca="false">IF(A119="","",IF(AND(I119&lt;&gt;"",I119&lt;AsOfDate),"▲ Next date passed",IF(AND(I119&lt;&gt;"",I119&lt;=AsOfDate+7),"● Next date within 7 days",IF(AND(P119&lt;&gt;"",P119&lt;AsOfDate,N119&lt;&gt;"Complete"),"▲ Regulation past target",IF(S119&gt;0,"Open comments","")))))</f>
        <v/>
      </c>
      <c r="V119" s="46"/>
      <c r="W119" s="46"/>
      <c r="X119" s="46"/>
    </row>
    <row r="120" customFormat="false" ht="15" hidden="false" customHeight="false" outlineLevel="0" collapsed="false">
      <c r="A120" s="46"/>
      <c r="B120" s="46"/>
      <c r="C120" s="46"/>
      <c r="D120" s="46"/>
      <c r="E120" s="46"/>
      <c r="F120" s="46"/>
      <c r="G120" s="46"/>
      <c r="H120" s="46"/>
      <c r="I120" s="46"/>
      <c r="J120" s="46"/>
      <c r="K120" s="48" t="str">
        <f aca="false">IF(W120="","",HYPERLINK(W120,"Simbli"))</f>
        <v/>
      </c>
      <c r="L120" s="48" t="str">
        <f aca="false">IF(X120="","",HYPERLINK(X120,"Simbli"))</f>
        <v/>
      </c>
      <c r="M120" s="46"/>
      <c r="N120" s="46"/>
      <c r="O120" s="46"/>
      <c r="P120" s="46" t="str">
        <f aca="false">IF(OR(A120="",O120=""),"",O120+RegDays)</f>
        <v/>
      </c>
      <c r="Q120" s="46" t="str">
        <f aca="false">IF(A120="","",IF(SUMPRODUCT(MAX((Versions!$B$2:$B$501=A120)*(Versions!$M$2:$M$501="Yes")*ROW(Versions!$B$2:$B$501)))=0,"",INDEX(Versions!$A$1:$A$501,SUMPRODUCT(MAX((Versions!$B$2:$B$501=A120)*(Versions!$M$2:$M$501="Yes")*ROW(Versions!$B$2:$B$501))))))</f>
        <v/>
      </c>
      <c r="R120" s="46" t="str">
        <f aca="false">IF(A120="","",COUNTIF(Comments!$B$2:$B$2001,A120))</f>
        <v/>
      </c>
      <c r="S120" s="46" t="str">
        <f aca="false">IF(A120="","",COUNTIFS(Comments!$B$2:$B$2001,A120,Comments!$N$2:$N$2001,"Open"))</f>
        <v/>
      </c>
      <c r="T120" s="46" t="str">
        <f aca="false">IF(A120="","",COUNTIFS('Deferred edits'!$C$2:$C$201,A120,'Deferred edits'!$G$2:$G$201,"Waiting"))</f>
        <v/>
      </c>
      <c r="U120" s="46" t="str">
        <f aca="false">IF(A120="","",IF(AND(I120&lt;&gt;"",I120&lt;AsOfDate),"▲ Next date passed",IF(AND(I120&lt;&gt;"",I120&lt;=AsOfDate+7),"● Next date within 7 days",IF(AND(P120&lt;&gt;"",P120&lt;AsOfDate,N120&lt;&gt;"Complete"),"▲ Regulation past target",IF(S120&gt;0,"Open comments","")))))</f>
        <v/>
      </c>
      <c r="V120" s="46"/>
      <c r="W120" s="46"/>
      <c r="X120" s="46"/>
    </row>
    <row r="121" customFormat="false" ht="15" hidden="false" customHeight="false" outlineLevel="0" collapsed="false">
      <c r="A121" s="46"/>
      <c r="B121" s="46"/>
      <c r="C121" s="46"/>
      <c r="D121" s="46"/>
      <c r="E121" s="46"/>
      <c r="F121" s="46"/>
      <c r="G121" s="46"/>
      <c r="H121" s="46"/>
      <c r="I121" s="46"/>
      <c r="J121" s="46"/>
      <c r="K121" s="48" t="str">
        <f aca="false">IF(W121="","",HYPERLINK(W121,"Simbli"))</f>
        <v/>
      </c>
      <c r="L121" s="48" t="str">
        <f aca="false">IF(X121="","",HYPERLINK(X121,"Simbli"))</f>
        <v/>
      </c>
      <c r="M121" s="46"/>
      <c r="N121" s="46"/>
      <c r="O121" s="46"/>
      <c r="P121" s="46" t="str">
        <f aca="false">IF(OR(A121="",O121=""),"",O121+RegDays)</f>
        <v/>
      </c>
      <c r="Q121" s="46" t="str">
        <f aca="false">IF(A121="","",IF(SUMPRODUCT(MAX((Versions!$B$2:$B$501=A121)*(Versions!$M$2:$M$501="Yes")*ROW(Versions!$B$2:$B$501)))=0,"",INDEX(Versions!$A$1:$A$501,SUMPRODUCT(MAX((Versions!$B$2:$B$501=A121)*(Versions!$M$2:$M$501="Yes")*ROW(Versions!$B$2:$B$501))))))</f>
        <v/>
      </c>
      <c r="R121" s="46" t="str">
        <f aca="false">IF(A121="","",COUNTIF(Comments!$B$2:$B$2001,A121))</f>
        <v/>
      </c>
      <c r="S121" s="46" t="str">
        <f aca="false">IF(A121="","",COUNTIFS(Comments!$B$2:$B$2001,A121,Comments!$N$2:$N$2001,"Open"))</f>
        <v/>
      </c>
      <c r="T121" s="46" t="str">
        <f aca="false">IF(A121="","",COUNTIFS('Deferred edits'!$C$2:$C$201,A121,'Deferred edits'!$G$2:$G$201,"Waiting"))</f>
        <v/>
      </c>
      <c r="U121" s="46" t="str">
        <f aca="false">IF(A121="","",IF(AND(I121&lt;&gt;"",I121&lt;AsOfDate),"▲ Next date passed",IF(AND(I121&lt;&gt;"",I121&lt;=AsOfDate+7),"● Next date within 7 days",IF(AND(P121&lt;&gt;"",P121&lt;AsOfDate,N121&lt;&gt;"Complete"),"▲ Regulation past target",IF(S121&gt;0,"Open comments","")))))</f>
        <v/>
      </c>
      <c r="V121" s="46"/>
      <c r="W121" s="46"/>
      <c r="X121" s="46"/>
    </row>
    <row r="122" customFormat="false" ht="15" hidden="false" customHeight="false" outlineLevel="0" collapsed="false">
      <c r="A122" s="46"/>
      <c r="B122" s="46"/>
      <c r="C122" s="46"/>
      <c r="D122" s="46"/>
      <c r="E122" s="46"/>
      <c r="F122" s="46"/>
      <c r="G122" s="46"/>
      <c r="H122" s="46"/>
      <c r="I122" s="46"/>
      <c r="J122" s="46"/>
      <c r="K122" s="48" t="str">
        <f aca="false">IF(W122="","",HYPERLINK(W122,"Simbli"))</f>
        <v/>
      </c>
      <c r="L122" s="48" t="str">
        <f aca="false">IF(X122="","",HYPERLINK(X122,"Simbli"))</f>
        <v/>
      </c>
      <c r="M122" s="46"/>
      <c r="N122" s="46"/>
      <c r="O122" s="46"/>
      <c r="P122" s="46" t="str">
        <f aca="false">IF(OR(A122="",O122=""),"",O122+RegDays)</f>
        <v/>
      </c>
      <c r="Q122" s="46" t="str">
        <f aca="false">IF(A122="","",IF(SUMPRODUCT(MAX((Versions!$B$2:$B$501=A122)*(Versions!$M$2:$M$501="Yes")*ROW(Versions!$B$2:$B$501)))=0,"",INDEX(Versions!$A$1:$A$501,SUMPRODUCT(MAX((Versions!$B$2:$B$501=A122)*(Versions!$M$2:$M$501="Yes")*ROW(Versions!$B$2:$B$501))))))</f>
        <v/>
      </c>
      <c r="R122" s="46" t="str">
        <f aca="false">IF(A122="","",COUNTIF(Comments!$B$2:$B$2001,A122))</f>
        <v/>
      </c>
      <c r="S122" s="46" t="str">
        <f aca="false">IF(A122="","",COUNTIFS(Comments!$B$2:$B$2001,A122,Comments!$N$2:$N$2001,"Open"))</f>
        <v/>
      </c>
      <c r="T122" s="46" t="str">
        <f aca="false">IF(A122="","",COUNTIFS('Deferred edits'!$C$2:$C$201,A122,'Deferred edits'!$G$2:$G$201,"Waiting"))</f>
        <v/>
      </c>
      <c r="U122" s="46" t="str">
        <f aca="false">IF(A122="","",IF(AND(I122&lt;&gt;"",I122&lt;AsOfDate),"▲ Next date passed",IF(AND(I122&lt;&gt;"",I122&lt;=AsOfDate+7),"● Next date within 7 days",IF(AND(P122&lt;&gt;"",P122&lt;AsOfDate,N122&lt;&gt;"Complete"),"▲ Regulation past target",IF(S122&gt;0,"Open comments","")))))</f>
        <v/>
      </c>
      <c r="V122" s="46"/>
      <c r="W122" s="46"/>
      <c r="X122" s="46"/>
    </row>
    <row r="123" customFormat="false" ht="15" hidden="false" customHeight="false" outlineLevel="0" collapsed="false">
      <c r="A123" s="46"/>
      <c r="B123" s="46"/>
      <c r="C123" s="46"/>
      <c r="D123" s="46"/>
      <c r="E123" s="46"/>
      <c r="F123" s="46"/>
      <c r="G123" s="46"/>
      <c r="H123" s="46"/>
      <c r="I123" s="46"/>
      <c r="J123" s="46"/>
      <c r="K123" s="48" t="str">
        <f aca="false">IF(W123="","",HYPERLINK(W123,"Simbli"))</f>
        <v/>
      </c>
      <c r="L123" s="48" t="str">
        <f aca="false">IF(X123="","",HYPERLINK(X123,"Simbli"))</f>
        <v/>
      </c>
      <c r="M123" s="46"/>
      <c r="N123" s="46"/>
      <c r="O123" s="46"/>
      <c r="P123" s="46" t="str">
        <f aca="false">IF(OR(A123="",O123=""),"",O123+RegDays)</f>
        <v/>
      </c>
      <c r="Q123" s="46" t="str">
        <f aca="false">IF(A123="","",IF(SUMPRODUCT(MAX((Versions!$B$2:$B$501=A123)*(Versions!$M$2:$M$501="Yes")*ROW(Versions!$B$2:$B$501)))=0,"",INDEX(Versions!$A$1:$A$501,SUMPRODUCT(MAX((Versions!$B$2:$B$501=A123)*(Versions!$M$2:$M$501="Yes")*ROW(Versions!$B$2:$B$501))))))</f>
        <v/>
      </c>
      <c r="R123" s="46" t="str">
        <f aca="false">IF(A123="","",COUNTIF(Comments!$B$2:$B$2001,A123))</f>
        <v/>
      </c>
      <c r="S123" s="46" t="str">
        <f aca="false">IF(A123="","",COUNTIFS(Comments!$B$2:$B$2001,A123,Comments!$N$2:$N$2001,"Open"))</f>
        <v/>
      </c>
      <c r="T123" s="46" t="str">
        <f aca="false">IF(A123="","",COUNTIFS('Deferred edits'!$C$2:$C$201,A123,'Deferred edits'!$G$2:$G$201,"Waiting"))</f>
        <v/>
      </c>
      <c r="U123" s="46" t="str">
        <f aca="false">IF(A123="","",IF(AND(I123&lt;&gt;"",I123&lt;AsOfDate),"▲ Next date passed",IF(AND(I123&lt;&gt;"",I123&lt;=AsOfDate+7),"● Next date within 7 days",IF(AND(P123&lt;&gt;"",P123&lt;AsOfDate,N123&lt;&gt;"Complete"),"▲ Regulation past target",IF(S123&gt;0,"Open comments","")))))</f>
        <v/>
      </c>
      <c r="V123" s="46"/>
      <c r="W123" s="46"/>
      <c r="X123" s="46"/>
    </row>
    <row r="124" customFormat="false" ht="15" hidden="false" customHeight="false" outlineLevel="0" collapsed="false">
      <c r="A124" s="46"/>
      <c r="B124" s="46"/>
      <c r="C124" s="46"/>
      <c r="D124" s="46"/>
      <c r="E124" s="46"/>
      <c r="F124" s="46"/>
      <c r="G124" s="46"/>
      <c r="H124" s="46"/>
      <c r="I124" s="46"/>
      <c r="J124" s="46"/>
      <c r="K124" s="48" t="str">
        <f aca="false">IF(W124="","",HYPERLINK(W124,"Simbli"))</f>
        <v/>
      </c>
      <c r="L124" s="48" t="str">
        <f aca="false">IF(X124="","",HYPERLINK(X124,"Simbli"))</f>
        <v/>
      </c>
      <c r="M124" s="46"/>
      <c r="N124" s="46"/>
      <c r="O124" s="46"/>
      <c r="P124" s="46" t="str">
        <f aca="false">IF(OR(A124="",O124=""),"",O124+RegDays)</f>
        <v/>
      </c>
      <c r="Q124" s="46" t="str">
        <f aca="false">IF(A124="","",IF(SUMPRODUCT(MAX((Versions!$B$2:$B$501=A124)*(Versions!$M$2:$M$501="Yes")*ROW(Versions!$B$2:$B$501)))=0,"",INDEX(Versions!$A$1:$A$501,SUMPRODUCT(MAX((Versions!$B$2:$B$501=A124)*(Versions!$M$2:$M$501="Yes")*ROW(Versions!$B$2:$B$501))))))</f>
        <v/>
      </c>
      <c r="R124" s="46" t="str">
        <f aca="false">IF(A124="","",COUNTIF(Comments!$B$2:$B$2001,A124))</f>
        <v/>
      </c>
      <c r="S124" s="46" t="str">
        <f aca="false">IF(A124="","",COUNTIFS(Comments!$B$2:$B$2001,A124,Comments!$N$2:$N$2001,"Open"))</f>
        <v/>
      </c>
      <c r="T124" s="46" t="str">
        <f aca="false">IF(A124="","",COUNTIFS('Deferred edits'!$C$2:$C$201,A124,'Deferred edits'!$G$2:$G$201,"Waiting"))</f>
        <v/>
      </c>
      <c r="U124" s="46" t="str">
        <f aca="false">IF(A124="","",IF(AND(I124&lt;&gt;"",I124&lt;AsOfDate),"▲ Next date passed",IF(AND(I124&lt;&gt;"",I124&lt;=AsOfDate+7),"● Next date within 7 days",IF(AND(P124&lt;&gt;"",P124&lt;AsOfDate,N124&lt;&gt;"Complete"),"▲ Regulation past target",IF(S124&gt;0,"Open comments","")))))</f>
        <v/>
      </c>
      <c r="V124" s="46"/>
      <c r="W124" s="46"/>
      <c r="X124" s="46"/>
    </row>
    <row r="125" customFormat="false" ht="15" hidden="false" customHeight="false" outlineLevel="0" collapsed="false">
      <c r="A125" s="46"/>
      <c r="B125" s="46"/>
      <c r="C125" s="46"/>
      <c r="D125" s="46"/>
      <c r="E125" s="46"/>
      <c r="F125" s="46"/>
      <c r="G125" s="46"/>
      <c r="H125" s="46"/>
      <c r="I125" s="46"/>
      <c r="J125" s="46"/>
      <c r="K125" s="48" t="str">
        <f aca="false">IF(W125="","",HYPERLINK(W125,"Simbli"))</f>
        <v/>
      </c>
      <c r="L125" s="48" t="str">
        <f aca="false">IF(X125="","",HYPERLINK(X125,"Simbli"))</f>
        <v/>
      </c>
      <c r="M125" s="46"/>
      <c r="N125" s="46"/>
      <c r="O125" s="46"/>
      <c r="P125" s="46" t="str">
        <f aca="false">IF(OR(A125="",O125=""),"",O125+RegDays)</f>
        <v/>
      </c>
      <c r="Q125" s="46" t="str">
        <f aca="false">IF(A125="","",IF(SUMPRODUCT(MAX((Versions!$B$2:$B$501=A125)*(Versions!$M$2:$M$501="Yes")*ROW(Versions!$B$2:$B$501)))=0,"",INDEX(Versions!$A$1:$A$501,SUMPRODUCT(MAX((Versions!$B$2:$B$501=A125)*(Versions!$M$2:$M$501="Yes")*ROW(Versions!$B$2:$B$501))))))</f>
        <v/>
      </c>
      <c r="R125" s="46" t="str">
        <f aca="false">IF(A125="","",COUNTIF(Comments!$B$2:$B$2001,A125))</f>
        <v/>
      </c>
      <c r="S125" s="46" t="str">
        <f aca="false">IF(A125="","",COUNTIFS(Comments!$B$2:$B$2001,A125,Comments!$N$2:$N$2001,"Open"))</f>
        <v/>
      </c>
      <c r="T125" s="46" t="str">
        <f aca="false">IF(A125="","",COUNTIFS('Deferred edits'!$C$2:$C$201,A125,'Deferred edits'!$G$2:$G$201,"Waiting"))</f>
        <v/>
      </c>
      <c r="U125" s="46" t="str">
        <f aca="false">IF(A125="","",IF(AND(I125&lt;&gt;"",I125&lt;AsOfDate),"▲ Next date passed",IF(AND(I125&lt;&gt;"",I125&lt;=AsOfDate+7),"● Next date within 7 days",IF(AND(P125&lt;&gt;"",P125&lt;AsOfDate,N125&lt;&gt;"Complete"),"▲ Regulation past target",IF(S125&gt;0,"Open comments","")))))</f>
        <v/>
      </c>
      <c r="V125" s="46"/>
      <c r="W125" s="46"/>
      <c r="X125" s="46"/>
    </row>
    <row r="126" customFormat="false" ht="15" hidden="false" customHeight="false" outlineLevel="0" collapsed="false">
      <c r="A126" s="46"/>
      <c r="B126" s="46"/>
      <c r="C126" s="46"/>
      <c r="D126" s="46"/>
      <c r="E126" s="46"/>
      <c r="F126" s="46"/>
      <c r="G126" s="46"/>
      <c r="H126" s="46"/>
      <c r="I126" s="46"/>
      <c r="J126" s="46"/>
      <c r="K126" s="48" t="str">
        <f aca="false">IF(W126="","",HYPERLINK(W126,"Simbli"))</f>
        <v/>
      </c>
      <c r="L126" s="48" t="str">
        <f aca="false">IF(X126="","",HYPERLINK(X126,"Simbli"))</f>
        <v/>
      </c>
      <c r="M126" s="46"/>
      <c r="N126" s="46"/>
      <c r="O126" s="46"/>
      <c r="P126" s="46" t="str">
        <f aca="false">IF(OR(A126="",O126=""),"",O126+RegDays)</f>
        <v/>
      </c>
      <c r="Q126" s="46" t="str">
        <f aca="false">IF(A126="","",IF(SUMPRODUCT(MAX((Versions!$B$2:$B$501=A126)*(Versions!$M$2:$M$501="Yes")*ROW(Versions!$B$2:$B$501)))=0,"",INDEX(Versions!$A$1:$A$501,SUMPRODUCT(MAX((Versions!$B$2:$B$501=A126)*(Versions!$M$2:$M$501="Yes")*ROW(Versions!$B$2:$B$501))))))</f>
        <v/>
      </c>
      <c r="R126" s="46" t="str">
        <f aca="false">IF(A126="","",COUNTIF(Comments!$B$2:$B$2001,A126))</f>
        <v/>
      </c>
      <c r="S126" s="46" t="str">
        <f aca="false">IF(A126="","",COUNTIFS(Comments!$B$2:$B$2001,A126,Comments!$N$2:$N$2001,"Open"))</f>
        <v/>
      </c>
      <c r="T126" s="46" t="str">
        <f aca="false">IF(A126="","",COUNTIFS('Deferred edits'!$C$2:$C$201,A126,'Deferred edits'!$G$2:$G$201,"Waiting"))</f>
        <v/>
      </c>
      <c r="U126" s="46" t="str">
        <f aca="false">IF(A126="","",IF(AND(I126&lt;&gt;"",I126&lt;AsOfDate),"▲ Next date passed",IF(AND(I126&lt;&gt;"",I126&lt;=AsOfDate+7),"● Next date within 7 days",IF(AND(P126&lt;&gt;"",P126&lt;AsOfDate,N126&lt;&gt;"Complete"),"▲ Regulation past target",IF(S126&gt;0,"Open comments","")))))</f>
        <v/>
      </c>
      <c r="V126" s="46"/>
      <c r="W126" s="46"/>
      <c r="X126" s="46"/>
    </row>
    <row r="127" customFormat="false" ht="15" hidden="false" customHeight="false" outlineLevel="0" collapsed="false">
      <c r="A127" s="46"/>
      <c r="B127" s="46"/>
      <c r="C127" s="46"/>
      <c r="D127" s="46"/>
      <c r="E127" s="46"/>
      <c r="F127" s="46"/>
      <c r="G127" s="46"/>
      <c r="H127" s="46"/>
      <c r="I127" s="46"/>
      <c r="J127" s="46"/>
      <c r="K127" s="48" t="str">
        <f aca="false">IF(W127="","",HYPERLINK(W127,"Simbli"))</f>
        <v/>
      </c>
      <c r="L127" s="48" t="str">
        <f aca="false">IF(X127="","",HYPERLINK(X127,"Simbli"))</f>
        <v/>
      </c>
      <c r="M127" s="46"/>
      <c r="N127" s="46"/>
      <c r="O127" s="46"/>
      <c r="P127" s="46" t="str">
        <f aca="false">IF(OR(A127="",O127=""),"",O127+RegDays)</f>
        <v/>
      </c>
      <c r="Q127" s="46" t="str">
        <f aca="false">IF(A127="","",IF(SUMPRODUCT(MAX((Versions!$B$2:$B$501=A127)*(Versions!$M$2:$M$501="Yes")*ROW(Versions!$B$2:$B$501)))=0,"",INDEX(Versions!$A$1:$A$501,SUMPRODUCT(MAX((Versions!$B$2:$B$501=A127)*(Versions!$M$2:$M$501="Yes")*ROW(Versions!$B$2:$B$501))))))</f>
        <v/>
      </c>
      <c r="R127" s="46" t="str">
        <f aca="false">IF(A127="","",COUNTIF(Comments!$B$2:$B$2001,A127))</f>
        <v/>
      </c>
      <c r="S127" s="46" t="str">
        <f aca="false">IF(A127="","",COUNTIFS(Comments!$B$2:$B$2001,A127,Comments!$N$2:$N$2001,"Open"))</f>
        <v/>
      </c>
      <c r="T127" s="46" t="str">
        <f aca="false">IF(A127="","",COUNTIFS('Deferred edits'!$C$2:$C$201,A127,'Deferred edits'!$G$2:$G$201,"Waiting"))</f>
        <v/>
      </c>
      <c r="U127" s="46" t="str">
        <f aca="false">IF(A127="","",IF(AND(I127&lt;&gt;"",I127&lt;AsOfDate),"▲ Next date passed",IF(AND(I127&lt;&gt;"",I127&lt;=AsOfDate+7),"● Next date within 7 days",IF(AND(P127&lt;&gt;"",P127&lt;AsOfDate,N127&lt;&gt;"Complete"),"▲ Regulation past target",IF(S127&gt;0,"Open comments","")))))</f>
        <v/>
      </c>
      <c r="V127" s="46"/>
      <c r="W127" s="46"/>
      <c r="X127" s="46"/>
    </row>
    <row r="128" customFormat="false" ht="15" hidden="false" customHeight="false" outlineLevel="0" collapsed="false">
      <c r="A128" s="46"/>
      <c r="B128" s="46"/>
      <c r="C128" s="46"/>
      <c r="D128" s="46"/>
      <c r="E128" s="46"/>
      <c r="F128" s="46"/>
      <c r="G128" s="46"/>
      <c r="H128" s="46"/>
      <c r="I128" s="46"/>
      <c r="J128" s="46"/>
      <c r="K128" s="48" t="str">
        <f aca="false">IF(W128="","",HYPERLINK(W128,"Simbli"))</f>
        <v/>
      </c>
      <c r="L128" s="48" t="str">
        <f aca="false">IF(X128="","",HYPERLINK(X128,"Simbli"))</f>
        <v/>
      </c>
      <c r="M128" s="46"/>
      <c r="N128" s="46"/>
      <c r="O128" s="46"/>
      <c r="P128" s="46" t="str">
        <f aca="false">IF(OR(A128="",O128=""),"",O128+RegDays)</f>
        <v/>
      </c>
      <c r="Q128" s="46" t="str">
        <f aca="false">IF(A128="","",IF(SUMPRODUCT(MAX((Versions!$B$2:$B$501=A128)*(Versions!$M$2:$M$501="Yes")*ROW(Versions!$B$2:$B$501)))=0,"",INDEX(Versions!$A$1:$A$501,SUMPRODUCT(MAX((Versions!$B$2:$B$501=A128)*(Versions!$M$2:$M$501="Yes")*ROW(Versions!$B$2:$B$501))))))</f>
        <v/>
      </c>
      <c r="R128" s="46" t="str">
        <f aca="false">IF(A128="","",COUNTIF(Comments!$B$2:$B$2001,A128))</f>
        <v/>
      </c>
      <c r="S128" s="46" t="str">
        <f aca="false">IF(A128="","",COUNTIFS(Comments!$B$2:$B$2001,A128,Comments!$N$2:$N$2001,"Open"))</f>
        <v/>
      </c>
      <c r="T128" s="46" t="str">
        <f aca="false">IF(A128="","",COUNTIFS('Deferred edits'!$C$2:$C$201,A128,'Deferred edits'!$G$2:$G$201,"Waiting"))</f>
        <v/>
      </c>
      <c r="U128" s="46" t="str">
        <f aca="false">IF(A128="","",IF(AND(I128&lt;&gt;"",I128&lt;AsOfDate),"▲ Next date passed",IF(AND(I128&lt;&gt;"",I128&lt;=AsOfDate+7),"● Next date within 7 days",IF(AND(P128&lt;&gt;"",P128&lt;AsOfDate,N128&lt;&gt;"Complete"),"▲ Regulation past target",IF(S128&gt;0,"Open comments","")))))</f>
        <v/>
      </c>
      <c r="V128" s="46"/>
      <c r="W128" s="46"/>
      <c r="X128" s="46"/>
    </row>
    <row r="129" customFormat="false" ht="15" hidden="false" customHeight="false" outlineLevel="0" collapsed="false">
      <c r="A129" s="46"/>
      <c r="B129" s="46"/>
      <c r="C129" s="46"/>
      <c r="D129" s="46"/>
      <c r="E129" s="46"/>
      <c r="F129" s="46"/>
      <c r="G129" s="46"/>
      <c r="H129" s="46"/>
      <c r="I129" s="46"/>
      <c r="J129" s="46"/>
      <c r="K129" s="48" t="str">
        <f aca="false">IF(W129="","",HYPERLINK(W129,"Simbli"))</f>
        <v/>
      </c>
      <c r="L129" s="48" t="str">
        <f aca="false">IF(X129="","",HYPERLINK(X129,"Simbli"))</f>
        <v/>
      </c>
      <c r="M129" s="46"/>
      <c r="N129" s="46"/>
      <c r="O129" s="46"/>
      <c r="P129" s="46" t="str">
        <f aca="false">IF(OR(A129="",O129=""),"",O129+RegDays)</f>
        <v/>
      </c>
      <c r="Q129" s="46" t="str">
        <f aca="false">IF(A129="","",IF(SUMPRODUCT(MAX((Versions!$B$2:$B$501=A129)*(Versions!$M$2:$M$501="Yes")*ROW(Versions!$B$2:$B$501)))=0,"",INDEX(Versions!$A$1:$A$501,SUMPRODUCT(MAX((Versions!$B$2:$B$501=A129)*(Versions!$M$2:$M$501="Yes")*ROW(Versions!$B$2:$B$501))))))</f>
        <v/>
      </c>
      <c r="R129" s="46" t="str">
        <f aca="false">IF(A129="","",COUNTIF(Comments!$B$2:$B$2001,A129))</f>
        <v/>
      </c>
      <c r="S129" s="46" t="str">
        <f aca="false">IF(A129="","",COUNTIFS(Comments!$B$2:$B$2001,A129,Comments!$N$2:$N$2001,"Open"))</f>
        <v/>
      </c>
      <c r="T129" s="46" t="str">
        <f aca="false">IF(A129="","",COUNTIFS('Deferred edits'!$C$2:$C$201,A129,'Deferred edits'!$G$2:$G$201,"Waiting"))</f>
        <v/>
      </c>
      <c r="U129" s="46" t="str">
        <f aca="false">IF(A129="","",IF(AND(I129&lt;&gt;"",I129&lt;AsOfDate),"▲ Next date passed",IF(AND(I129&lt;&gt;"",I129&lt;=AsOfDate+7),"● Next date within 7 days",IF(AND(P129&lt;&gt;"",P129&lt;AsOfDate,N129&lt;&gt;"Complete"),"▲ Regulation past target",IF(S129&gt;0,"Open comments","")))))</f>
        <v/>
      </c>
      <c r="V129" s="46"/>
      <c r="W129" s="46"/>
      <c r="X129" s="46"/>
    </row>
    <row r="130" customFormat="false" ht="15" hidden="false" customHeight="false" outlineLevel="0" collapsed="false">
      <c r="A130" s="46"/>
      <c r="B130" s="46"/>
      <c r="C130" s="46"/>
      <c r="D130" s="46"/>
      <c r="E130" s="46"/>
      <c r="F130" s="46"/>
      <c r="G130" s="46"/>
      <c r="H130" s="46"/>
      <c r="I130" s="46"/>
      <c r="J130" s="46"/>
      <c r="K130" s="48" t="str">
        <f aca="false">IF(W130="","",HYPERLINK(W130,"Simbli"))</f>
        <v/>
      </c>
      <c r="L130" s="48" t="str">
        <f aca="false">IF(X130="","",HYPERLINK(X130,"Simbli"))</f>
        <v/>
      </c>
      <c r="M130" s="46"/>
      <c r="N130" s="46"/>
      <c r="O130" s="46"/>
      <c r="P130" s="46" t="str">
        <f aca="false">IF(OR(A130="",O130=""),"",O130+RegDays)</f>
        <v/>
      </c>
      <c r="Q130" s="46" t="str">
        <f aca="false">IF(A130="","",IF(SUMPRODUCT(MAX((Versions!$B$2:$B$501=A130)*(Versions!$M$2:$M$501="Yes")*ROW(Versions!$B$2:$B$501)))=0,"",INDEX(Versions!$A$1:$A$501,SUMPRODUCT(MAX((Versions!$B$2:$B$501=A130)*(Versions!$M$2:$M$501="Yes")*ROW(Versions!$B$2:$B$501))))))</f>
        <v/>
      </c>
      <c r="R130" s="46" t="str">
        <f aca="false">IF(A130="","",COUNTIF(Comments!$B$2:$B$2001,A130))</f>
        <v/>
      </c>
      <c r="S130" s="46" t="str">
        <f aca="false">IF(A130="","",COUNTIFS(Comments!$B$2:$B$2001,A130,Comments!$N$2:$N$2001,"Open"))</f>
        <v/>
      </c>
      <c r="T130" s="46" t="str">
        <f aca="false">IF(A130="","",COUNTIFS('Deferred edits'!$C$2:$C$201,A130,'Deferred edits'!$G$2:$G$201,"Waiting"))</f>
        <v/>
      </c>
      <c r="U130" s="46" t="str">
        <f aca="false">IF(A130="","",IF(AND(I130&lt;&gt;"",I130&lt;AsOfDate),"▲ Next date passed",IF(AND(I130&lt;&gt;"",I130&lt;=AsOfDate+7),"● Next date within 7 days",IF(AND(P130&lt;&gt;"",P130&lt;AsOfDate,N130&lt;&gt;"Complete"),"▲ Regulation past target",IF(S130&gt;0,"Open comments","")))))</f>
        <v/>
      </c>
      <c r="V130" s="46"/>
      <c r="W130" s="46"/>
      <c r="X130" s="46"/>
    </row>
    <row r="131" customFormat="false" ht="15" hidden="false" customHeight="false" outlineLevel="0" collapsed="false">
      <c r="A131" s="46"/>
      <c r="B131" s="46"/>
      <c r="C131" s="46"/>
      <c r="D131" s="46"/>
      <c r="E131" s="46"/>
      <c r="F131" s="46"/>
      <c r="G131" s="46"/>
      <c r="H131" s="46"/>
      <c r="I131" s="46"/>
      <c r="J131" s="46"/>
      <c r="K131" s="48" t="str">
        <f aca="false">IF(W131="","",HYPERLINK(W131,"Simbli"))</f>
        <v/>
      </c>
      <c r="L131" s="48" t="str">
        <f aca="false">IF(X131="","",HYPERLINK(X131,"Simbli"))</f>
        <v/>
      </c>
      <c r="M131" s="46"/>
      <c r="N131" s="46"/>
      <c r="O131" s="46"/>
      <c r="P131" s="46" t="str">
        <f aca="false">IF(OR(A131="",O131=""),"",O131+RegDays)</f>
        <v/>
      </c>
      <c r="Q131" s="46" t="str">
        <f aca="false">IF(A131="","",IF(SUMPRODUCT(MAX((Versions!$B$2:$B$501=A131)*(Versions!$M$2:$M$501="Yes")*ROW(Versions!$B$2:$B$501)))=0,"",INDEX(Versions!$A$1:$A$501,SUMPRODUCT(MAX((Versions!$B$2:$B$501=A131)*(Versions!$M$2:$M$501="Yes")*ROW(Versions!$B$2:$B$501))))))</f>
        <v/>
      </c>
      <c r="R131" s="46" t="str">
        <f aca="false">IF(A131="","",COUNTIF(Comments!$B$2:$B$2001,A131))</f>
        <v/>
      </c>
      <c r="S131" s="46" t="str">
        <f aca="false">IF(A131="","",COUNTIFS(Comments!$B$2:$B$2001,A131,Comments!$N$2:$N$2001,"Open"))</f>
        <v/>
      </c>
      <c r="T131" s="46" t="str">
        <f aca="false">IF(A131="","",COUNTIFS('Deferred edits'!$C$2:$C$201,A131,'Deferred edits'!$G$2:$G$201,"Waiting"))</f>
        <v/>
      </c>
      <c r="U131" s="46" t="str">
        <f aca="false">IF(A131="","",IF(AND(I131&lt;&gt;"",I131&lt;AsOfDate),"▲ Next date passed",IF(AND(I131&lt;&gt;"",I131&lt;=AsOfDate+7),"● Next date within 7 days",IF(AND(P131&lt;&gt;"",P131&lt;AsOfDate,N131&lt;&gt;"Complete"),"▲ Regulation past target",IF(S131&gt;0,"Open comments","")))))</f>
        <v/>
      </c>
      <c r="V131" s="46"/>
      <c r="W131" s="46"/>
      <c r="X131" s="46"/>
    </row>
    <row r="132" customFormat="false" ht="15" hidden="false" customHeight="false" outlineLevel="0" collapsed="false">
      <c r="A132" s="46"/>
      <c r="B132" s="46"/>
      <c r="C132" s="46"/>
      <c r="D132" s="46"/>
      <c r="E132" s="46"/>
      <c r="F132" s="46"/>
      <c r="G132" s="46"/>
      <c r="H132" s="46"/>
      <c r="I132" s="46"/>
      <c r="J132" s="46"/>
      <c r="K132" s="48" t="str">
        <f aca="false">IF(W132="","",HYPERLINK(W132,"Simbli"))</f>
        <v/>
      </c>
      <c r="L132" s="48" t="str">
        <f aca="false">IF(X132="","",HYPERLINK(X132,"Simbli"))</f>
        <v/>
      </c>
      <c r="M132" s="46"/>
      <c r="N132" s="46"/>
      <c r="O132" s="46"/>
      <c r="P132" s="46" t="str">
        <f aca="false">IF(OR(A132="",O132=""),"",O132+RegDays)</f>
        <v/>
      </c>
      <c r="Q132" s="46" t="str">
        <f aca="false">IF(A132="","",IF(SUMPRODUCT(MAX((Versions!$B$2:$B$501=A132)*(Versions!$M$2:$M$501="Yes")*ROW(Versions!$B$2:$B$501)))=0,"",INDEX(Versions!$A$1:$A$501,SUMPRODUCT(MAX((Versions!$B$2:$B$501=A132)*(Versions!$M$2:$M$501="Yes")*ROW(Versions!$B$2:$B$501))))))</f>
        <v/>
      </c>
      <c r="R132" s="46" t="str">
        <f aca="false">IF(A132="","",COUNTIF(Comments!$B$2:$B$2001,A132))</f>
        <v/>
      </c>
      <c r="S132" s="46" t="str">
        <f aca="false">IF(A132="","",COUNTIFS(Comments!$B$2:$B$2001,A132,Comments!$N$2:$N$2001,"Open"))</f>
        <v/>
      </c>
      <c r="T132" s="46" t="str">
        <f aca="false">IF(A132="","",COUNTIFS('Deferred edits'!$C$2:$C$201,A132,'Deferred edits'!$G$2:$G$201,"Waiting"))</f>
        <v/>
      </c>
      <c r="U132" s="46" t="str">
        <f aca="false">IF(A132="","",IF(AND(I132&lt;&gt;"",I132&lt;AsOfDate),"▲ Next date passed",IF(AND(I132&lt;&gt;"",I132&lt;=AsOfDate+7),"● Next date within 7 days",IF(AND(P132&lt;&gt;"",P132&lt;AsOfDate,N132&lt;&gt;"Complete"),"▲ Regulation past target",IF(S132&gt;0,"Open comments","")))))</f>
        <v/>
      </c>
      <c r="V132" s="46"/>
      <c r="W132" s="46"/>
      <c r="X132" s="46"/>
    </row>
    <row r="133" customFormat="false" ht="15" hidden="false" customHeight="false" outlineLevel="0" collapsed="false">
      <c r="A133" s="46"/>
      <c r="B133" s="46"/>
      <c r="C133" s="46"/>
      <c r="D133" s="46"/>
      <c r="E133" s="46"/>
      <c r="F133" s="46"/>
      <c r="G133" s="46"/>
      <c r="H133" s="46"/>
      <c r="I133" s="46"/>
      <c r="J133" s="46"/>
      <c r="K133" s="48" t="str">
        <f aca="false">IF(W133="","",HYPERLINK(W133,"Simbli"))</f>
        <v/>
      </c>
      <c r="L133" s="48" t="str">
        <f aca="false">IF(X133="","",HYPERLINK(X133,"Simbli"))</f>
        <v/>
      </c>
      <c r="M133" s="46"/>
      <c r="N133" s="46"/>
      <c r="O133" s="46"/>
      <c r="P133" s="46" t="str">
        <f aca="false">IF(OR(A133="",O133=""),"",O133+RegDays)</f>
        <v/>
      </c>
      <c r="Q133" s="46" t="str">
        <f aca="false">IF(A133="","",IF(SUMPRODUCT(MAX((Versions!$B$2:$B$501=A133)*(Versions!$M$2:$M$501="Yes")*ROW(Versions!$B$2:$B$501)))=0,"",INDEX(Versions!$A$1:$A$501,SUMPRODUCT(MAX((Versions!$B$2:$B$501=A133)*(Versions!$M$2:$M$501="Yes")*ROW(Versions!$B$2:$B$501))))))</f>
        <v/>
      </c>
      <c r="R133" s="46" t="str">
        <f aca="false">IF(A133="","",COUNTIF(Comments!$B$2:$B$2001,A133))</f>
        <v/>
      </c>
      <c r="S133" s="46" t="str">
        <f aca="false">IF(A133="","",COUNTIFS(Comments!$B$2:$B$2001,A133,Comments!$N$2:$N$2001,"Open"))</f>
        <v/>
      </c>
      <c r="T133" s="46" t="str">
        <f aca="false">IF(A133="","",COUNTIFS('Deferred edits'!$C$2:$C$201,A133,'Deferred edits'!$G$2:$G$201,"Waiting"))</f>
        <v/>
      </c>
      <c r="U133" s="46" t="str">
        <f aca="false">IF(A133="","",IF(AND(I133&lt;&gt;"",I133&lt;AsOfDate),"▲ Next date passed",IF(AND(I133&lt;&gt;"",I133&lt;=AsOfDate+7),"● Next date within 7 days",IF(AND(P133&lt;&gt;"",P133&lt;AsOfDate,N133&lt;&gt;"Complete"),"▲ Regulation past target",IF(S133&gt;0,"Open comments","")))))</f>
        <v/>
      </c>
      <c r="V133" s="46"/>
      <c r="W133" s="46"/>
      <c r="X133" s="46"/>
    </row>
    <row r="134" customFormat="false" ht="15" hidden="false" customHeight="false" outlineLevel="0" collapsed="false">
      <c r="A134" s="46"/>
      <c r="B134" s="46"/>
      <c r="C134" s="46"/>
      <c r="D134" s="46"/>
      <c r="E134" s="46"/>
      <c r="F134" s="46"/>
      <c r="G134" s="46"/>
      <c r="H134" s="46"/>
      <c r="I134" s="46"/>
      <c r="J134" s="46"/>
      <c r="K134" s="48" t="str">
        <f aca="false">IF(W134="","",HYPERLINK(W134,"Simbli"))</f>
        <v/>
      </c>
      <c r="L134" s="48" t="str">
        <f aca="false">IF(X134="","",HYPERLINK(X134,"Simbli"))</f>
        <v/>
      </c>
      <c r="M134" s="46"/>
      <c r="N134" s="46"/>
      <c r="O134" s="46"/>
      <c r="P134" s="46" t="str">
        <f aca="false">IF(OR(A134="",O134=""),"",O134+RegDays)</f>
        <v/>
      </c>
      <c r="Q134" s="46" t="str">
        <f aca="false">IF(A134="","",IF(SUMPRODUCT(MAX((Versions!$B$2:$B$501=A134)*(Versions!$M$2:$M$501="Yes")*ROW(Versions!$B$2:$B$501)))=0,"",INDEX(Versions!$A$1:$A$501,SUMPRODUCT(MAX((Versions!$B$2:$B$501=A134)*(Versions!$M$2:$M$501="Yes")*ROW(Versions!$B$2:$B$501))))))</f>
        <v/>
      </c>
      <c r="R134" s="46" t="str">
        <f aca="false">IF(A134="","",COUNTIF(Comments!$B$2:$B$2001,A134))</f>
        <v/>
      </c>
      <c r="S134" s="46" t="str">
        <f aca="false">IF(A134="","",COUNTIFS(Comments!$B$2:$B$2001,A134,Comments!$N$2:$N$2001,"Open"))</f>
        <v/>
      </c>
      <c r="T134" s="46" t="str">
        <f aca="false">IF(A134="","",COUNTIFS('Deferred edits'!$C$2:$C$201,A134,'Deferred edits'!$G$2:$G$201,"Waiting"))</f>
        <v/>
      </c>
      <c r="U134" s="46" t="str">
        <f aca="false">IF(A134="","",IF(AND(I134&lt;&gt;"",I134&lt;AsOfDate),"▲ Next date passed",IF(AND(I134&lt;&gt;"",I134&lt;=AsOfDate+7),"● Next date within 7 days",IF(AND(P134&lt;&gt;"",P134&lt;AsOfDate,N134&lt;&gt;"Complete"),"▲ Regulation past target",IF(S134&gt;0,"Open comments","")))))</f>
        <v/>
      </c>
      <c r="V134" s="46"/>
      <c r="W134" s="46"/>
      <c r="X134" s="46"/>
    </row>
    <row r="135" customFormat="false" ht="15" hidden="false" customHeight="false" outlineLevel="0" collapsed="false">
      <c r="A135" s="46"/>
      <c r="B135" s="46"/>
      <c r="C135" s="46"/>
      <c r="D135" s="46"/>
      <c r="E135" s="46"/>
      <c r="F135" s="46"/>
      <c r="G135" s="46"/>
      <c r="H135" s="46"/>
      <c r="I135" s="46"/>
      <c r="J135" s="46"/>
      <c r="K135" s="48" t="str">
        <f aca="false">IF(W135="","",HYPERLINK(W135,"Simbli"))</f>
        <v/>
      </c>
      <c r="L135" s="48" t="str">
        <f aca="false">IF(X135="","",HYPERLINK(X135,"Simbli"))</f>
        <v/>
      </c>
      <c r="M135" s="46"/>
      <c r="N135" s="46"/>
      <c r="O135" s="46"/>
      <c r="P135" s="46" t="str">
        <f aca="false">IF(OR(A135="",O135=""),"",O135+RegDays)</f>
        <v/>
      </c>
      <c r="Q135" s="46" t="str">
        <f aca="false">IF(A135="","",IF(SUMPRODUCT(MAX((Versions!$B$2:$B$501=A135)*(Versions!$M$2:$M$501="Yes")*ROW(Versions!$B$2:$B$501)))=0,"",INDEX(Versions!$A$1:$A$501,SUMPRODUCT(MAX((Versions!$B$2:$B$501=A135)*(Versions!$M$2:$M$501="Yes")*ROW(Versions!$B$2:$B$501))))))</f>
        <v/>
      </c>
      <c r="R135" s="46" t="str">
        <f aca="false">IF(A135="","",COUNTIF(Comments!$B$2:$B$2001,A135))</f>
        <v/>
      </c>
      <c r="S135" s="46" t="str">
        <f aca="false">IF(A135="","",COUNTIFS(Comments!$B$2:$B$2001,A135,Comments!$N$2:$N$2001,"Open"))</f>
        <v/>
      </c>
      <c r="T135" s="46" t="str">
        <f aca="false">IF(A135="","",COUNTIFS('Deferred edits'!$C$2:$C$201,A135,'Deferred edits'!$G$2:$G$201,"Waiting"))</f>
        <v/>
      </c>
      <c r="U135" s="46" t="str">
        <f aca="false">IF(A135="","",IF(AND(I135&lt;&gt;"",I135&lt;AsOfDate),"▲ Next date passed",IF(AND(I135&lt;&gt;"",I135&lt;=AsOfDate+7),"● Next date within 7 days",IF(AND(P135&lt;&gt;"",P135&lt;AsOfDate,N135&lt;&gt;"Complete"),"▲ Regulation past target",IF(S135&gt;0,"Open comments","")))))</f>
        <v/>
      </c>
      <c r="V135" s="46"/>
      <c r="W135" s="46"/>
      <c r="X135" s="46"/>
    </row>
    <row r="136" customFormat="false" ht="15" hidden="false" customHeight="false" outlineLevel="0" collapsed="false">
      <c r="A136" s="46"/>
      <c r="B136" s="46"/>
      <c r="C136" s="46"/>
      <c r="D136" s="46"/>
      <c r="E136" s="46"/>
      <c r="F136" s="46"/>
      <c r="G136" s="46"/>
      <c r="H136" s="46"/>
      <c r="I136" s="46"/>
      <c r="J136" s="46"/>
      <c r="K136" s="48" t="str">
        <f aca="false">IF(W136="","",HYPERLINK(W136,"Simbli"))</f>
        <v/>
      </c>
      <c r="L136" s="48" t="str">
        <f aca="false">IF(X136="","",HYPERLINK(X136,"Simbli"))</f>
        <v/>
      </c>
      <c r="M136" s="46"/>
      <c r="N136" s="46"/>
      <c r="O136" s="46"/>
      <c r="P136" s="46" t="str">
        <f aca="false">IF(OR(A136="",O136=""),"",O136+RegDays)</f>
        <v/>
      </c>
      <c r="Q136" s="46" t="str">
        <f aca="false">IF(A136="","",IF(SUMPRODUCT(MAX((Versions!$B$2:$B$501=A136)*(Versions!$M$2:$M$501="Yes")*ROW(Versions!$B$2:$B$501)))=0,"",INDEX(Versions!$A$1:$A$501,SUMPRODUCT(MAX((Versions!$B$2:$B$501=A136)*(Versions!$M$2:$M$501="Yes")*ROW(Versions!$B$2:$B$501))))))</f>
        <v/>
      </c>
      <c r="R136" s="46" t="str">
        <f aca="false">IF(A136="","",COUNTIF(Comments!$B$2:$B$2001,A136))</f>
        <v/>
      </c>
      <c r="S136" s="46" t="str">
        <f aca="false">IF(A136="","",COUNTIFS(Comments!$B$2:$B$2001,A136,Comments!$N$2:$N$2001,"Open"))</f>
        <v/>
      </c>
      <c r="T136" s="46" t="str">
        <f aca="false">IF(A136="","",COUNTIFS('Deferred edits'!$C$2:$C$201,A136,'Deferred edits'!$G$2:$G$201,"Waiting"))</f>
        <v/>
      </c>
      <c r="U136" s="46" t="str">
        <f aca="false">IF(A136="","",IF(AND(I136&lt;&gt;"",I136&lt;AsOfDate),"▲ Next date passed",IF(AND(I136&lt;&gt;"",I136&lt;=AsOfDate+7),"● Next date within 7 days",IF(AND(P136&lt;&gt;"",P136&lt;AsOfDate,N136&lt;&gt;"Complete"),"▲ Regulation past target",IF(S136&gt;0,"Open comments","")))))</f>
        <v/>
      </c>
      <c r="V136" s="46"/>
      <c r="W136" s="46"/>
      <c r="X136" s="46"/>
    </row>
    <row r="137" customFormat="false" ht="15" hidden="false" customHeight="false" outlineLevel="0" collapsed="false">
      <c r="A137" s="46"/>
      <c r="B137" s="46"/>
      <c r="C137" s="46"/>
      <c r="D137" s="46"/>
      <c r="E137" s="46"/>
      <c r="F137" s="46"/>
      <c r="G137" s="46"/>
      <c r="H137" s="46"/>
      <c r="I137" s="46"/>
      <c r="J137" s="46"/>
      <c r="K137" s="48" t="str">
        <f aca="false">IF(W137="","",HYPERLINK(W137,"Simbli"))</f>
        <v/>
      </c>
      <c r="L137" s="48" t="str">
        <f aca="false">IF(X137="","",HYPERLINK(X137,"Simbli"))</f>
        <v/>
      </c>
      <c r="M137" s="46"/>
      <c r="N137" s="46"/>
      <c r="O137" s="46"/>
      <c r="P137" s="46" t="str">
        <f aca="false">IF(OR(A137="",O137=""),"",O137+RegDays)</f>
        <v/>
      </c>
      <c r="Q137" s="46" t="str">
        <f aca="false">IF(A137="","",IF(SUMPRODUCT(MAX((Versions!$B$2:$B$501=A137)*(Versions!$M$2:$M$501="Yes")*ROW(Versions!$B$2:$B$501)))=0,"",INDEX(Versions!$A$1:$A$501,SUMPRODUCT(MAX((Versions!$B$2:$B$501=A137)*(Versions!$M$2:$M$501="Yes")*ROW(Versions!$B$2:$B$501))))))</f>
        <v/>
      </c>
      <c r="R137" s="46" t="str">
        <f aca="false">IF(A137="","",COUNTIF(Comments!$B$2:$B$2001,A137))</f>
        <v/>
      </c>
      <c r="S137" s="46" t="str">
        <f aca="false">IF(A137="","",COUNTIFS(Comments!$B$2:$B$2001,A137,Comments!$N$2:$N$2001,"Open"))</f>
        <v/>
      </c>
      <c r="T137" s="46" t="str">
        <f aca="false">IF(A137="","",COUNTIFS('Deferred edits'!$C$2:$C$201,A137,'Deferred edits'!$G$2:$G$201,"Waiting"))</f>
        <v/>
      </c>
      <c r="U137" s="46" t="str">
        <f aca="false">IF(A137="","",IF(AND(I137&lt;&gt;"",I137&lt;AsOfDate),"▲ Next date passed",IF(AND(I137&lt;&gt;"",I137&lt;=AsOfDate+7),"● Next date within 7 days",IF(AND(P137&lt;&gt;"",P137&lt;AsOfDate,N137&lt;&gt;"Complete"),"▲ Regulation past target",IF(S137&gt;0,"Open comments","")))))</f>
        <v/>
      </c>
      <c r="V137" s="46"/>
      <c r="W137" s="46"/>
      <c r="X137" s="46"/>
    </row>
    <row r="138" customFormat="false" ht="15" hidden="false" customHeight="false" outlineLevel="0" collapsed="false">
      <c r="A138" s="46"/>
      <c r="B138" s="46"/>
      <c r="C138" s="46"/>
      <c r="D138" s="46"/>
      <c r="E138" s="46"/>
      <c r="F138" s="46"/>
      <c r="G138" s="46"/>
      <c r="H138" s="46"/>
      <c r="I138" s="46"/>
      <c r="J138" s="46"/>
      <c r="K138" s="48" t="str">
        <f aca="false">IF(W138="","",HYPERLINK(W138,"Simbli"))</f>
        <v/>
      </c>
      <c r="L138" s="48" t="str">
        <f aca="false">IF(X138="","",HYPERLINK(X138,"Simbli"))</f>
        <v/>
      </c>
      <c r="M138" s="46"/>
      <c r="N138" s="46"/>
      <c r="O138" s="46"/>
      <c r="P138" s="46" t="str">
        <f aca="false">IF(OR(A138="",O138=""),"",O138+RegDays)</f>
        <v/>
      </c>
      <c r="Q138" s="46" t="str">
        <f aca="false">IF(A138="","",IF(SUMPRODUCT(MAX((Versions!$B$2:$B$501=A138)*(Versions!$M$2:$M$501="Yes")*ROW(Versions!$B$2:$B$501)))=0,"",INDEX(Versions!$A$1:$A$501,SUMPRODUCT(MAX((Versions!$B$2:$B$501=A138)*(Versions!$M$2:$M$501="Yes")*ROW(Versions!$B$2:$B$501))))))</f>
        <v/>
      </c>
      <c r="R138" s="46" t="str">
        <f aca="false">IF(A138="","",COUNTIF(Comments!$B$2:$B$2001,A138))</f>
        <v/>
      </c>
      <c r="S138" s="46" t="str">
        <f aca="false">IF(A138="","",COUNTIFS(Comments!$B$2:$B$2001,A138,Comments!$N$2:$N$2001,"Open"))</f>
        <v/>
      </c>
      <c r="T138" s="46" t="str">
        <f aca="false">IF(A138="","",COUNTIFS('Deferred edits'!$C$2:$C$201,A138,'Deferred edits'!$G$2:$G$201,"Waiting"))</f>
        <v/>
      </c>
      <c r="U138" s="46" t="str">
        <f aca="false">IF(A138="","",IF(AND(I138&lt;&gt;"",I138&lt;AsOfDate),"▲ Next date passed",IF(AND(I138&lt;&gt;"",I138&lt;=AsOfDate+7),"● Next date within 7 days",IF(AND(P138&lt;&gt;"",P138&lt;AsOfDate,N138&lt;&gt;"Complete"),"▲ Regulation past target",IF(S138&gt;0,"Open comments","")))))</f>
        <v/>
      </c>
      <c r="V138" s="46"/>
      <c r="W138" s="46"/>
      <c r="X138" s="46"/>
    </row>
    <row r="139" customFormat="false" ht="15" hidden="false" customHeight="false" outlineLevel="0" collapsed="false">
      <c r="A139" s="46"/>
      <c r="B139" s="46"/>
      <c r="C139" s="46"/>
      <c r="D139" s="46"/>
      <c r="E139" s="46"/>
      <c r="F139" s="46"/>
      <c r="G139" s="46"/>
      <c r="H139" s="46"/>
      <c r="I139" s="46"/>
      <c r="J139" s="46"/>
      <c r="K139" s="48" t="str">
        <f aca="false">IF(W139="","",HYPERLINK(W139,"Simbli"))</f>
        <v/>
      </c>
      <c r="L139" s="48" t="str">
        <f aca="false">IF(X139="","",HYPERLINK(X139,"Simbli"))</f>
        <v/>
      </c>
      <c r="M139" s="46"/>
      <c r="N139" s="46"/>
      <c r="O139" s="46"/>
      <c r="P139" s="46" t="str">
        <f aca="false">IF(OR(A139="",O139=""),"",O139+RegDays)</f>
        <v/>
      </c>
      <c r="Q139" s="46" t="str">
        <f aca="false">IF(A139="","",IF(SUMPRODUCT(MAX((Versions!$B$2:$B$501=A139)*(Versions!$M$2:$M$501="Yes")*ROW(Versions!$B$2:$B$501)))=0,"",INDEX(Versions!$A$1:$A$501,SUMPRODUCT(MAX((Versions!$B$2:$B$501=A139)*(Versions!$M$2:$M$501="Yes")*ROW(Versions!$B$2:$B$501))))))</f>
        <v/>
      </c>
      <c r="R139" s="46" t="str">
        <f aca="false">IF(A139="","",COUNTIF(Comments!$B$2:$B$2001,A139))</f>
        <v/>
      </c>
      <c r="S139" s="46" t="str">
        <f aca="false">IF(A139="","",COUNTIFS(Comments!$B$2:$B$2001,A139,Comments!$N$2:$N$2001,"Open"))</f>
        <v/>
      </c>
      <c r="T139" s="46" t="str">
        <f aca="false">IF(A139="","",COUNTIFS('Deferred edits'!$C$2:$C$201,A139,'Deferred edits'!$G$2:$G$201,"Waiting"))</f>
        <v/>
      </c>
      <c r="U139" s="46" t="str">
        <f aca="false">IF(A139="","",IF(AND(I139&lt;&gt;"",I139&lt;AsOfDate),"▲ Next date passed",IF(AND(I139&lt;&gt;"",I139&lt;=AsOfDate+7),"● Next date within 7 days",IF(AND(P139&lt;&gt;"",P139&lt;AsOfDate,N139&lt;&gt;"Complete"),"▲ Regulation past target",IF(S139&gt;0,"Open comments","")))))</f>
        <v/>
      </c>
      <c r="V139" s="46"/>
      <c r="W139" s="46"/>
      <c r="X139" s="46"/>
    </row>
    <row r="140" customFormat="false" ht="15" hidden="false" customHeight="false" outlineLevel="0" collapsed="false">
      <c r="A140" s="46"/>
      <c r="B140" s="46"/>
      <c r="C140" s="46"/>
      <c r="D140" s="46"/>
      <c r="E140" s="46"/>
      <c r="F140" s="46"/>
      <c r="G140" s="46"/>
      <c r="H140" s="46"/>
      <c r="I140" s="46"/>
      <c r="J140" s="46"/>
      <c r="K140" s="48" t="str">
        <f aca="false">IF(W140="","",HYPERLINK(W140,"Simbli"))</f>
        <v/>
      </c>
      <c r="L140" s="48" t="str">
        <f aca="false">IF(X140="","",HYPERLINK(X140,"Simbli"))</f>
        <v/>
      </c>
      <c r="M140" s="46"/>
      <c r="N140" s="46"/>
      <c r="O140" s="46"/>
      <c r="P140" s="46" t="str">
        <f aca="false">IF(OR(A140="",O140=""),"",O140+RegDays)</f>
        <v/>
      </c>
      <c r="Q140" s="46" t="str">
        <f aca="false">IF(A140="","",IF(SUMPRODUCT(MAX((Versions!$B$2:$B$501=A140)*(Versions!$M$2:$M$501="Yes")*ROW(Versions!$B$2:$B$501)))=0,"",INDEX(Versions!$A$1:$A$501,SUMPRODUCT(MAX((Versions!$B$2:$B$501=A140)*(Versions!$M$2:$M$501="Yes")*ROW(Versions!$B$2:$B$501))))))</f>
        <v/>
      </c>
      <c r="R140" s="46" t="str">
        <f aca="false">IF(A140="","",COUNTIF(Comments!$B$2:$B$2001,A140))</f>
        <v/>
      </c>
      <c r="S140" s="46" t="str">
        <f aca="false">IF(A140="","",COUNTIFS(Comments!$B$2:$B$2001,A140,Comments!$N$2:$N$2001,"Open"))</f>
        <v/>
      </c>
      <c r="T140" s="46" t="str">
        <f aca="false">IF(A140="","",COUNTIFS('Deferred edits'!$C$2:$C$201,A140,'Deferred edits'!$G$2:$G$201,"Waiting"))</f>
        <v/>
      </c>
      <c r="U140" s="46" t="str">
        <f aca="false">IF(A140="","",IF(AND(I140&lt;&gt;"",I140&lt;AsOfDate),"▲ Next date passed",IF(AND(I140&lt;&gt;"",I140&lt;=AsOfDate+7),"● Next date within 7 days",IF(AND(P140&lt;&gt;"",P140&lt;AsOfDate,N140&lt;&gt;"Complete"),"▲ Regulation past target",IF(S140&gt;0,"Open comments","")))))</f>
        <v/>
      </c>
      <c r="V140" s="46"/>
      <c r="W140" s="46"/>
      <c r="X140" s="46"/>
    </row>
    <row r="141" customFormat="false" ht="15" hidden="false" customHeight="false" outlineLevel="0" collapsed="false">
      <c r="A141" s="46"/>
      <c r="B141" s="46"/>
      <c r="C141" s="46"/>
      <c r="D141" s="46"/>
      <c r="E141" s="46"/>
      <c r="F141" s="46"/>
      <c r="G141" s="46"/>
      <c r="H141" s="46"/>
      <c r="I141" s="46"/>
      <c r="J141" s="46"/>
      <c r="K141" s="48" t="str">
        <f aca="false">IF(W141="","",HYPERLINK(W141,"Simbli"))</f>
        <v/>
      </c>
      <c r="L141" s="48" t="str">
        <f aca="false">IF(X141="","",HYPERLINK(X141,"Simbli"))</f>
        <v/>
      </c>
      <c r="M141" s="46"/>
      <c r="N141" s="46"/>
      <c r="O141" s="46"/>
      <c r="P141" s="46" t="str">
        <f aca="false">IF(OR(A141="",O141=""),"",O141+RegDays)</f>
        <v/>
      </c>
      <c r="Q141" s="46" t="str">
        <f aca="false">IF(A141="","",IF(SUMPRODUCT(MAX((Versions!$B$2:$B$501=A141)*(Versions!$M$2:$M$501="Yes")*ROW(Versions!$B$2:$B$501)))=0,"",INDEX(Versions!$A$1:$A$501,SUMPRODUCT(MAX((Versions!$B$2:$B$501=A141)*(Versions!$M$2:$M$501="Yes")*ROW(Versions!$B$2:$B$501))))))</f>
        <v/>
      </c>
      <c r="R141" s="46" t="str">
        <f aca="false">IF(A141="","",COUNTIF(Comments!$B$2:$B$2001,A141))</f>
        <v/>
      </c>
      <c r="S141" s="46" t="str">
        <f aca="false">IF(A141="","",COUNTIFS(Comments!$B$2:$B$2001,A141,Comments!$N$2:$N$2001,"Open"))</f>
        <v/>
      </c>
      <c r="T141" s="46" t="str">
        <f aca="false">IF(A141="","",COUNTIFS('Deferred edits'!$C$2:$C$201,A141,'Deferred edits'!$G$2:$G$201,"Waiting"))</f>
        <v/>
      </c>
      <c r="U141" s="46" t="str">
        <f aca="false">IF(A141="","",IF(AND(I141&lt;&gt;"",I141&lt;AsOfDate),"▲ Next date passed",IF(AND(I141&lt;&gt;"",I141&lt;=AsOfDate+7),"● Next date within 7 days",IF(AND(P141&lt;&gt;"",P141&lt;AsOfDate,N141&lt;&gt;"Complete"),"▲ Regulation past target",IF(S141&gt;0,"Open comments","")))))</f>
        <v/>
      </c>
      <c r="V141" s="46"/>
      <c r="W141" s="46"/>
      <c r="X141" s="46"/>
    </row>
    <row r="142" customFormat="false" ht="15" hidden="false" customHeight="false" outlineLevel="0" collapsed="false">
      <c r="A142" s="46"/>
      <c r="B142" s="46"/>
      <c r="C142" s="46"/>
      <c r="D142" s="46"/>
      <c r="E142" s="46"/>
      <c r="F142" s="46"/>
      <c r="G142" s="46"/>
      <c r="H142" s="46"/>
      <c r="I142" s="46"/>
      <c r="J142" s="46"/>
      <c r="K142" s="48" t="str">
        <f aca="false">IF(W142="","",HYPERLINK(W142,"Simbli"))</f>
        <v/>
      </c>
      <c r="L142" s="48" t="str">
        <f aca="false">IF(X142="","",HYPERLINK(X142,"Simbli"))</f>
        <v/>
      </c>
      <c r="M142" s="46"/>
      <c r="N142" s="46"/>
      <c r="O142" s="46"/>
      <c r="P142" s="46" t="str">
        <f aca="false">IF(OR(A142="",O142=""),"",O142+RegDays)</f>
        <v/>
      </c>
      <c r="Q142" s="46" t="str">
        <f aca="false">IF(A142="","",IF(SUMPRODUCT(MAX((Versions!$B$2:$B$501=A142)*(Versions!$M$2:$M$501="Yes")*ROW(Versions!$B$2:$B$501)))=0,"",INDEX(Versions!$A$1:$A$501,SUMPRODUCT(MAX((Versions!$B$2:$B$501=A142)*(Versions!$M$2:$M$501="Yes")*ROW(Versions!$B$2:$B$501))))))</f>
        <v/>
      </c>
      <c r="R142" s="46" t="str">
        <f aca="false">IF(A142="","",COUNTIF(Comments!$B$2:$B$2001,A142))</f>
        <v/>
      </c>
      <c r="S142" s="46" t="str">
        <f aca="false">IF(A142="","",COUNTIFS(Comments!$B$2:$B$2001,A142,Comments!$N$2:$N$2001,"Open"))</f>
        <v/>
      </c>
      <c r="T142" s="46" t="str">
        <f aca="false">IF(A142="","",COUNTIFS('Deferred edits'!$C$2:$C$201,A142,'Deferred edits'!$G$2:$G$201,"Waiting"))</f>
        <v/>
      </c>
      <c r="U142" s="46" t="str">
        <f aca="false">IF(A142="","",IF(AND(I142&lt;&gt;"",I142&lt;AsOfDate),"▲ Next date passed",IF(AND(I142&lt;&gt;"",I142&lt;=AsOfDate+7),"● Next date within 7 days",IF(AND(P142&lt;&gt;"",P142&lt;AsOfDate,N142&lt;&gt;"Complete"),"▲ Regulation past target",IF(S142&gt;0,"Open comments","")))))</f>
        <v/>
      </c>
      <c r="V142" s="46"/>
      <c r="W142" s="46"/>
      <c r="X142" s="46"/>
    </row>
    <row r="143" customFormat="false" ht="15" hidden="false" customHeight="false" outlineLevel="0" collapsed="false">
      <c r="A143" s="46"/>
      <c r="B143" s="46"/>
      <c r="C143" s="46"/>
      <c r="D143" s="46"/>
      <c r="E143" s="46"/>
      <c r="F143" s="46"/>
      <c r="G143" s="46"/>
      <c r="H143" s="46"/>
      <c r="I143" s="46"/>
      <c r="J143" s="46"/>
      <c r="K143" s="48" t="str">
        <f aca="false">IF(W143="","",HYPERLINK(W143,"Simbli"))</f>
        <v/>
      </c>
      <c r="L143" s="48" t="str">
        <f aca="false">IF(X143="","",HYPERLINK(X143,"Simbli"))</f>
        <v/>
      </c>
      <c r="M143" s="46"/>
      <c r="N143" s="46"/>
      <c r="O143" s="46"/>
      <c r="P143" s="46" t="str">
        <f aca="false">IF(OR(A143="",O143=""),"",O143+RegDays)</f>
        <v/>
      </c>
      <c r="Q143" s="46" t="str">
        <f aca="false">IF(A143="","",IF(SUMPRODUCT(MAX((Versions!$B$2:$B$501=A143)*(Versions!$M$2:$M$501="Yes")*ROW(Versions!$B$2:$B$501)))=0,"",INDEX(Versions!$A$1:$A$501,SUMPRODUCT(MAX((Versions!$B$2:$B$501=A143)*(Versions!$M$2:$M$501="Yes")*ROW(Versions!$B$2:$B$501))))))</f>
        <v/>
      </c>
      <c r="R143" s="46" t="str">
        <f aca="false">IF(A143="","",COUNTIF(Comments!$B$2:$B$2001,A143))</f>
        <v/>
      </c>
      <c r="S143" s="46" t="str">
        <f aca="false">IF(A143="","",COUNTIFS(Comments!$B$2:$B$2001,A143,Comments!$N$2:$N$2001,"Open"))</f>
        <v/>
      </c>
      <c r="T143" s="46" t="str">
        <f aca="false">IF(A143="","",COUNTIFS('Deferred edits'!$C$2:$C$201,A143,'Deferred edits'!$G$2:$G$201,"Waiting"))</f>
        <v/>
      </c>
      <c r="U143" s="46" t="str">
        <f aca="false">IF(A143="","",IF(AND(I143&lt;&gt;"",I143&lt;AsOfDate),"▲ Next date passed",IF(AND(I143&lt;&gt;"",I143&lt;=AsOfDate+7),"● Next date within 7 days",IF(AND(P143&lt;&gt;"",P143&lt;AsOfDate,N143&lt;&gt;"Complete"),"▲ Regulation past target",IF(S143&gt;0,"Open comments","")))))</f>
        <v/>
      </c>
      <c r="V143" s="46"/>
      <c r="W143" s="46"/>
      <c r="X143" s="46"/>
    </row>
    <row r="144" customFormat="false" ht="15" hidden="false" customHeight="false" outlineLevel="0" collapsed="false">
      <c r="A144" s="46"/>
      <c r="B144" s="46"/>
      <c r="C144" s="46"/>
      <c r="D144" s="46"/>
      <c r="E144" s="46"/>
      <c r="F144" s="46"/>
      <c r="G144" s="46"/>
      <c r="H144" s="46"/>
      <c r="I144" s="46"/>
      <c r="J144" s="46"/>
      <c r="K144" s="48" t="str">
        <f aca="false">IF(W144="","",HYPERLINK(W144,"Simbli"))</f>
        <v/>
      </c>
      <c r="L144" s="48" t="str">
        <f aca="false">IF(X144="","",HYPERLINK(X144,"Simbli"))</f>
        <v/>
      </c>
      <c r="M144" s="46"/>
      <c r="N144" s="46"/>
      <c r="O144" s="46"/>
      <c r="P144" s="46" t="str">
        <f aca="false">IF(OR(A144="",O144=""),"",O144+RegDays)</f>
        <v/>
      </c>
      <c r="Q144" s="46" t="str">
        <f aca="false">IF(A144="","",IF(SUMPRODUCT(MAX((Versions!$B$2:$B$501=A144)*(Versions!$M$2:$M$501="Yes")*ROW(Versions!$B$2:$B$501)))=0,"",INDEX(Versions!$A$1:$A$501,SUMPRODUCT(MAX((Versions!$B$2:$B$501=A144)*(Versions!$M$2:$M$501="Yes")*ROW(Versions!$B$2:$B$501))))))</f>
        <v/>
      </c>
      <c r="R144" s="46" t="str">
        <f aca="false">IF(A144="","",COUNTIF(Comments!$B$2:$B$2001,A144))</f>
        <v/>
      </c>
      <c r="S144" s="46" t="str">
        <f aca="false">IF(A144="","",COUNTIFS(Comments!$B$2:$B$2001,A144,Comments!$N$2:$N$2001,"Open"))</f>
        <v/>
      </c>
      <c r="T144" s="46" t="str">
        <f aca="false">IF(A144="","",COUNTIFS('Deferred edits'!$C$2:$C$201,A144,'Deferred edits'!$G$2:$G$201,"Waiting"))</f>
        <v/>
      </c>
      <c r="U144" s="46" t="str">
        <f aca="false">IF(A144="","",IF(AND(I144&lt;&gt;"",I144&lt;AsOfDate),"▲ Next date passed",IF(AND(I144&lt;&gt;"",I144&lt;=AsOfDate+7),"● Next date within 7 days",IF(AND(P144&lt;&gt;"",P144&lt;AsOfDate,N144&lt;&gt;"Complete"),"▲ Regulation past target",IF(S144&gt;0,"Open comments","")))))</f>
        <v/>
      </c>
      <c r="V144" s="46"/>
      <c r="W144" s="46"/>
      <c r="X144" s="46"/>
    </row>
    <row r="145" customFormat="false" ht="15" hidden="false" customHeight="false" outlineLevel="0" collapsed="false">
      <c r="A145" s="46"/>
      <c r="B145" s="46"/>
      <c r="C145" s="46"/>
      <c r="D145" s="46"/>
      <c r="E145" s="46"/>
      <c r="F145" s="46"/>
      <c r="G145" s="46"/>
      <c r="H145" s="46"/>
      <c r="I145" s="46"/>
      <c r="J145" s="46"/>
      <c r="K145" s="48" t="str">
        <f aca="false">IF(W145="","",HYPERLINK(W145,"Simbli"))</f>
        <v/>
      </c>
      <c r="L145" s="48" t="str">
        <f aca="false">IF(X145="","",HYPERLINK(X145,"Simbli"))</f>
        <v/>
      </c>
      <c r="M145" s="46"/>
      <c r="N145" s="46"/>
      <c r="O145" s="46"/>
      <c r="P145" s="46" t="str">
        <f aca="false">IF(OR(A145="",O145=""),"",O145+RegDays)</f>
        <v/>
      </c>
      <c r="Q145" s="46" t="str">
        <f aca="false">IF(A145="","",IF(SUMPRODUCT(MAX((Versions!$B$2:$B$501=A145)*(Versions!$M$2:$M$501="Yes")*ROW(Versions!$B$2:$B$501)))=0,"",INDEX(Versions!$A$1:$A$501,SUMPRODUCT(MAX((Versions!$B$2:$B$501=A145)*(Versions!$M$2:$M$501="Yes")*ROW(Versions!$B$2:$B$501))))))</f>
        <v/>
      </c>
      <c r="R145" s="46" t="str">
        <f aca="false">IF(A145="","",COUNTIF(Comments!$B$2:$B$2001,A145))</f>
        <v/>
      </c>
      <c r="S145" s="46" t="str">
        <f aca="false">IF(A145="","",COUNTIFS(Comments!$B$2:$B$2001,A145,Comments!$N$2:$N$2001,"Open"))</f>
        <v/>
      </c>
      <c r="T145" s="46" t="str">
        <f aca="false">IF(A145="","",COUNTIFS('Deferred edits'!$C$2:$C$201,A145,'Deferred edits'!$G$2:$G$201,"Waiting"))</f>
        <v/>
      </c>
      <c r="U145" s="46" t="str">
        <f aca="false">IF(A145="","",IF(AND(I145&lt;&gt;"",I145&lt;AsOfDate),"▲ Next date passed",IF(AND(I145&lt;&gt;"",I145&lt;=AsOfDate+7),"● Next date within 7 days",IF(AND(P145&lt;&gt;"",P145&lt;AsOfDate,N145&lt;&gt;"Complete"),"▲ Regulation past target",IF(S145&gt;0,"Open comments","")))))</f>
        <v/>
      </c>
      <c r="V145" s="46"/>
      <c r="W145" s="46"/>
      <c r="X145" s="46"/>
    </row>
    <row r="146" customFormat="false" ht="15" hidden="false" customHeight="false" outlineLevel="0" collapsed="false">
      <c r="A146" s="46"/>
      <c r="B146" s="46"/>
      <c r="C146" s="46"/>
      <c r="D146" s="46"/>
      <c r="E146" s="46"/>
      <c r="F146" s="46"/>
      <c r="G146" s="46"/>
      <c r="H146" s="46"/>
      <c r="I146" s="46"/>
      <c r="J146" s="46"/>
      <c r="K146" s="48" t="str">
        <f aca="false">IF(W146="","",HYPERLINK(W146,"Simbli"))</f>
        <v/>
      </c>
      <c r="L146" s="48" t="str">
        <f aca="false">IF(X146="","",HYPERLINK(X146,"Simbli"))</f>
        <v/>
      </c>
      <c r="M146" s="46"/>
      <c r="N146" s="46"/>
      <c r="O146" s="46"/>
      <c r="P146" s="46" t="str">
        <f aca="false">IF(OR(A146="",O146=""),"",O146+RegDays)</f>
        <v/>
      </c>
      <c r="Q146" s="46" t="str">
        <f aca="false">IF(A146="","",IF(SUMPRODUCT(MAX((Versions!$B$2:$B$501=A146)*(Versions!$M$2:$M$501="Yes")*ROW(Versions!$B$2:$B$501)))=0,"",INDEX(Versions!$A$1:$A$501,SUMPRODUCT(MAX((Versions!$B$2:$B$501=A146)*(Versions!$M$2:$M$501="Yes")*ROW(Versions!$B$2:$B$501))))))</f>
        <v/>
      </c>
      <c r="R146" s="46" t="str">
        <f aca="false">IF(A146="","",COUNTIF(Comments!$B$2:$B$2001,A146))</f>
        <v/>
      </c>
      <c r="S146" s="46" t="str">
        <f aca="false">IF(A146="","",COUNTIFS(Comments!$B$2:$B$2001,A146,Comments!$N$2:$N$2001,"Open"))</f>
        <v/>
      </c>
      <c r="T146" s="46" t="str">
        <f aca="false">IF(A146="","",COUNTIFS('Deferred edits'!$C$2:$C$201,A146,'Deferred edits'!$G$2:$G$201,"Waiting"))</f>
        <v/>
      </c>
      <c r="U146" s="46" t="str">
        <f aca="false">IF(A146="","",IF(AND(I146&lt;&gt;"",I146&lt;AsOfDate),"▲ Next date passed",IF(AND(I146&lt;&gt;"",I146&lt;=AsOfDate+7),"● Next date within 7 days",IF(AND(P146&lt;&gt;"",P146&lt;AsOfDate,N146&lt;&gt;"Complete"),"▲ Regulation past target",IF(S146&gt;0,"Open comments","")))))</f>
        <v/>
      </c>
      <c r="V146" s="46"/>
      <c r="W146" s="46"/>
      <c r="X146" s="46"/>
    </row>
    <row r="147" customFormat="false" ht="15" hidden="false" customHeight="false" outlineLevel="0" collapsed="false">
      <c r="A147" s="46"/>
      <c r="B147" s="46"/>
      <c r="C147" s="46"/>
      <c r="D147" s="46"/>
      <c r="E147" s="46"/>
      <c r="F147" s="46"/>
      <c r="G147" s="46"/>
      <c r="H147" s="46"/>
      <c r="I147" s="46"/>
      <c r="J147" s="46"/>
      <c r="K147" s="48" t="str">
        <f aca="false">IF(W147="","",HYPERLINK(W147,"Simbli"))</f>
        <v/>
      </c>
      <c r="L147" s="48" t="str">
        <f aca="false">IF(X147="","",HYPERLINK(X147,"Simbli"))</f>
        <v/>
      </c>
      <c r="M147" s="46"/>
      <c r="N147" s="46"/>
      <c r="O147" s="46"/>
      <c r="P147" s="46" t="str">
        <f aca="false">IF(OR(A147="",O147=""),"",O147+RegDays)</f>
        <v/>
      </c>
      <c r="Q147" s="46" t="str">
        <f aca="false">IF(A147="","",IF(SUMPRODUCT(MAX((Versions!$B$2:$B$501=A147)*(Versions!$M$2:$M$501="Yes")*ROW(Versions!$B$2:$B$501)))=0,"",INDEX(Versions!$A$1:$A$501,SUMPRODUCT(MAX((Versions!$B$2:$B$501=A147)*(Versions!$M$2:$M$501="Yes")*ROW(Versions!$B$2:$B$501))))))</f>
        <v/>
      </c>
      <c r="R147" s="46" t="str">
        <f aca="false">IF(A147="","",COUNTIF(Comments!$B$2:$B$2001,A147))</f>
        <v/>
      </c>
      <c r="S147" s="46" t="str">
        <f aca="false">IF(A147="","",COUNTIFS(Comments!$B$2:$B$2001,A147,Comments!$N$2:$N$2001,"Open"))</f>
        <v/>
      </c>
      <c r="T147" s="46" t="str">
        <f aca="false">IF(A147="","",COUNTIFS('Deferred edits'!$C$2:$C$201,A147,'Deferred edits'!$G$2:$G$201,"Waiting"))</f>
        <v/>
      </c>
      <c r="U147" s="46" t="str">
        <f aca="false">IF(A147="","",IF(AND(I147&lt;&gt;"",I147&lt;AsOfDate),"▲ Next date passed",IF(AND(I147&lt;&gt;"",I147&lt;=AsOfDate+7),"● Next date within 7 days",IF(AND(P147&lt;&gt;"",P147&lt;AsOfDate,N147&lt;&gt;"Complete"),"▲ Regulation past target",IF(S147&gt;0,"Open comments","")))))</f>
        <v/>
      </c>
      <c r="V147" s="46"/>
      <c r="W147" s="46"/>
      <c r="X147" s="46"/>
    </row>
    <row r="148" customFormat="false" ht="15" hidden="false" customHeight="false" outlineLevel="0" collapsed="false">
      <c r="A148" s="46"/>
      <c r="B148" s="46"/>
      <c r="C148" s="46"/>
      <c r="D148" s="46"/>
      <c r="E148" s="46"/>
      <c r="F148" s="46"/>
      <c r="G148" s="46"/>
      <c r="H148" s="46"/>
      <c r="I148" s="46"/>
      <c r="J148" s="46"/>
      <c r="K148" s="48" t="str">
        <f aca="false">IF(W148="","",HYPERLINK(W148,"Simbli"))</f>
        <v/>
      </c>
      <c r="L148" s="48" t="str">
        <f aca="false">IF(X148="","",HYPERLINK(X148,"Simbli"))</f>
        <v/>
      </c>
      <c r="M148" s="46"/>
      <c r="N148" s="46"/>
      <c r="O148" s="46"/>
      <c r="P148" s="46" t="str">
        <f aca="false">IF(OR(A148="",O148=""),"",O148+RegDays)</f>
        <v/>
      </c>
      <c r="Q148" s="46" t="str">
        <f aca="false">IF(A148="","",IF(SUMPRODUCT(MAX((Versions!$B$2:$B$501=A148)*(Versions!$M$2:$M$501="Yes")*ROW(Versions!$B$2:$B$501)))=0,"",INDEX(Versions!$A$1:$A$501,SUMPRODUCT(MAX((Versions!$B$2:$B$501=A148)*(Versions!$M$2:$M$501="Yes")*ROW(Versions!$B$2:$B$501))))))</f>
        <v/>
      </c>
      <c r="R148" s="46" t="str">
        <f aca="false">IF(A148="","",COUNTIF(Comments!$B$2:$B$2001,A148))</f>
        <v/>
      </c>
      <c r="S148" s="46" t="str">
        <f aca="false">IF(A148="","",COUNTIFS(Comments!$B$2:$B$2001,A148,Comments!$N$2:$N$2001,"Open"))</f>
        <v/>
      </c>
      <c r="T148" s="46" t="str">
        <f aca="false">IF(A148="","",COUNTIFS('Deferred edits'!$C$2:$C$201,A148,'Deferred edits'!$G$2:$G$201,"Waiting"))</f>
        <v/>
      </c>
      <c r="U148" s="46" t="str">
        <f aca="false">IF(A148="","",IF(AND(I148&lt;&gt;"",I148&lt;AsOfDate),"▲ Next date passed",IF(AND(I148&lt;&gt;"",I148&lt;=AsOfDate+7),"● Next date within 7 days",IF(AND(P148&lt;&gt;"",P148&lt;AsOfDate,N148&lt;&gt;"Complete"),"▲ Regulation past target",IF(S148&gt;0,"Open comments","")))))</f>
        <v/>
      </c>
      <c r="V148" s="46"/>
      <c r="W148" s="46"/>
      <c r="X148" s="46"/>
    </row>
    <row r="149" customFormat="false" ht="15" hidden="false" customHeight="false" outlineLevel="0" collapsed="false">
      <c r="A149" s="46"/>
      <c r="B149" s="46"/>
      <c r="C149" s="46"/>
      <c r="D149" s="46"/>
      <c r="E149" s="46"/>
      <c r="F149" s="46"/>
      <c r="G149" s="46"/>
      <c r="H149" s="46"/>
      <c r="I149" s="46"/>
      <c r="J149" s="46"/>
      <c r="K149" s="48" t="str">
        <f aca="false">IF(W149="","",HYPERLINK(W149,"Simbli"))</f>
        <v/>
      </c>
      <c r="L149" s="48" t="str">
        <f aca="false">IF(X149="","",HYPERLINK(X149,"Simbli"))</f>
        <v/>
      </c>
      <c r="M149" s="46"/>
      <c r="N149" s="46"/>
      <c r="O149" s="46"/>
      <c r="P149" s="46" t="str">
        <f aca="false">IF(OR(A149="",O149=""),"",O149+RegDays)</f>
        <v/>
      </c>
      <c r="Q149" s="46" t="str">
        <f aca="false">IF(A149="","",IF(SUMPRODUCT(MAX((Versions!$B$2:$B$501=A149)*(Versions!$M$2:$M$501="Yes")*ROW(Versions!$B$2:$B$501)))=0,"",INDEX(Versions!$A$1:$A$501,SUMPRODUCT(MAX((Versions!$B$2:$B$501=A149)*(Versions!$M$2:$M$501="Yes")*ROW(Versions!$B$2:$B$501))))))</f>
        <v/>
      </c>
      <c r="R149" s="46" t="str">
        <f aca="false">IF(A149="","",COUNTIF(Comments!$B$2:$B$2001,A149))</f>
        <v/>
      </c>
      <c r="S149" s="46" t="str">
        <f aca="false">IF(A149="","",COUNTIFS(Comments!$B$2:$B$2001,A149,Comments!$N$2:$N$2001,"Open"))</f>
        <v/>
      </c>
      <c r="T149" s="46" t="str">
        <f aca="false">IF(A149="","",COUNTIFS('Deferred edits'!$C$2:$C$201,A149,'Deferred edits'!$G$2:$G$201,"Waiting"))</f>
        <v/>
      </c>
      <c r="U149" s="46" t="str">
        <f aca="false">IF(A149="","",IF(AND(I149&lt;&gt;"",I149&lt;AsOfDate),"▲ Next date passed",IF(AND(I149&lt;&gt;"",I149&lt;=AsOfDate+7),"● Next date within 7 days",IF(AND(P149&lt;&gt;"",P149&lt;AsOfDate,N149&lt;&gt;"Complete"),"▲ Regulation past target",IF(S149&gt;0,"Open comments","")))))</f>
        <v/>
      </c>
      <c r="V149" s="46"/>
      <c r="W149" s="46"/>
      <c r="X149" s="46"/>
    </row>
    <row r="150" customFormat="false" ht="15" hidden="false" customHeight="false" outlineLevel="0" collapsed="false">
      <c r="A150" s="46"/>
      <c r="B150" s="46"/>
      <c r="C150" s="46"/>
      <c r="D150" s="46"/>
      <c r="E150" s="46"/>
      <c r="F150" s="46"/>
      <c r="G150" s="46"/>
      <c r="H150" s="46"/>
      <c r="I150" s="46"/>
      <c r="J150" s="46"/>
      <c r="K150" s="48" t="str">
        <f aca="false">IF(W150="","",HYPERLINK(W150,"Simbli"))</f>
        <v/>
      </c>
      <c r="L150" s="48" t="str">
        <f aca="false">IF(X150="","",HYPERLINK(X150,"Simbli"))</f>
        <v/>
      </c>
      <c r="M150" s="46"/>
      <c r="N150" s="46"/>
      <c r="O150" s="46"/>
      <c r="P150" s="46" t="str">
        <f aca="false">IF(OR(A150="",O150=""),"",O150+RegDays)</f>
        <v/>
      </c>
      <c r="Q150" s="46" t="str">
        <f aca="false">IF(A150="","",IF(SUMPRODUCT(MAX((Versions!$B$2:$B$501=A150)*(Versions!$M$2:$M$501="Yes")*ROW(Versions!$B$2:$B$501)))=0,"",INDEX(Versions!$A$1:$A$501,SUMPRODUCT(MAX((Versions!$B$2:$B$501=A150)*(Versions!$M$2:$M$501="Yes")*ROW(Versions!$B$2:$B$501))))))</f>
        <v/>
      </c>
      <c r="R150" s="46" t="str">
        <f aca="false">IF(A150="","",COUNTIF(Comments!$B$2:$B$2001,A150))</f>
        <v/>
      </c>
      <c r="S150" s="46" t="str">
        <f aca="false">IF(A150="","",COUNTIFS(Comments!$B$2:$B$2001,A150,Comments!$N$2:$N$2001,"Open"))</f>
        <v/>
      </c>
      <c r="T150" s="46" t="str">
        <f aca="false">IF(A150="","",COUNTIFS('Deferred edits'!$C$2:$C$201,A150,'Deferred edits'!$G$2:$G$201,"Waiting"))</f>
        <v/>
      </c>
      <c r="U150" s="46" t="str">
        <f aca="false">IF(A150="","",IF(AND(I150&lt;&gt;"",I150&lt;AsOfDate),"▲ Next date passed",IF(AND(I150&lt;&gt;"",I150&lt;=AsOfDate+7),"● Next date within 7 days",IF(AND(P150&lt;&gt;"",P150&lt;AsOfDate,N150&lt;&gt;"Complete"),"▲ Regulation past target",IF(S150&gt;0,"Open comments","")))))</f>
        <v/>
      </c>
      <c r="V150" s="46"/>
      <c r="W150" s="46"/>
      <c r="X150" s="46"/>
    </row>
    <row r="151" customFormat="false" ht="15" hidden="false" customHeight="false" outlineLevel="0" collapsed="false">
      <c r="A151" s="46"/>
      <c r="B151" s="46"/>
      <c r="C151" s="46"/>
      <c r="D151" s="46"/>
      <c r="E151" s="46"/>
      <c r="F151" s="46"/>
      <c r="G151" s="46"/>
      <c r="H151" s="46"/>
      <c r="I151" s="46"/>
      <c r="J151" s="46"/>
      <c r="K151" s="48" t="str">
        <f aca="false">IF(W151="","",HYPERLINK(W151,"Simbli"))</f>
        <v/>
      </c>
      <c r="L151" s="48" t="str">
        <f aca="false">IF(X151="","",HYPERLINK(X151,"Simbli"))</f>
        <v/>
      </c>
      <c r="M151" s="46"/>
      <c r="N151" s="46"/>
      <c r="O151" s="46"/>
      <c r="P151" s="46" t="str">
        <f aca="false">IF(OR(A151="",O151=""),"",O151+RegDays)</f>
        <v/>
      </c>
      <c r="Q151" s="46" t="str">
        <f aca="false">IF(A151="","",IF(SUMPRODUCT(MAX((Versions!$B$2:$B$501=A151)*(Versions!$M$2:$M$501="Yes")*ROW(Versions!$B$2:$B$501)))=0,"",INDEX(Versions!$A$1:$A$501,SUMPRODUCT(MAX((Versions!$B$2:$B$501=A151)*(Versions!$M$2:$M$501="Yes")*ROW(Versions!$B$2:$B$501))))))</f>
        <v/>
      </c>
      <c r="R151" s="46" t="str">
        <f aca="false">IF(A151="","",COUNTIF(Comments!$B$2:$B$2001,A151))</f>
        <v/>
      </c>
      <c r="S151" s="46" t="str">
        <f aca="false">IF(A151="","",COUNTIFS(Comments!$B$2:$B$2001,A151,Comments!$N$2:$N$2001,"Open"))</f>
        <v/>
      </c>
      <c r="T151" s="46" t="str">
        <f aca="false">IF(A151="","",COUNTIFS('Deferred edits'!$C$2:$C$201,A151,'Deferred edits'!$G$2:$G$201,"Waiting"))</f>
        <v/>
      </c>
      <c r="U151" s="46" t="str">
        <f aca="false">IF(A151="","",IF(AND(I151&lt;&gt;"",I151&lt;AsOfDate),"▲ Next date passed",IF(AND(I151&lt;&gt;"",I151&lt;=AsOfDate+7),"● Next date within 7 days",IF(AND(P151&lt;&gt;"",P151&lt;AsOfDate,N151&lt;&gt;"Complete"),"▲ Regulation past target",IF(S151&gt;0,"Open comments","")))))</f>
        <v/>
      </c>
      <c r="V151" s="46"/>
      <c r="W151" s="46"/>
      <c r="X151" s="46"/>
    </row>
    <row r="152" customFormat="false" ht="15" hidden="false" customHeight="false" outlineLevel="0" collapsed="false">
      <c r="A152" s="46"/>
      <c r="B152" s="46"/>
      <c r="C152" s="46"/>
      <c r="D152" s="46"/>
      <c r="E152" s="46"/>
      <c r="F152" s="46"/>
      <c r="G152" s="46"/>
      <c r="H152" s="46"/>
      <c r="I152" s="46"/>
      <c r="J152" s="46"/>
      <c r="K152" s="48" t="str">
        <f aca="false">IF(W152="","",HYPERLINK(W152,"Simbli"))</f>
        <v/>
      </c>
      <c r="L152" s="48" t="str">
        <f aca="false">IF(X152="","",HYPERLINK(X152,"Simbli"))</f>
        <v/>
      </c>
      <c r="M152" s="46"/>
      <c r="N152" s="46"/>
      <c r="O152" s="46"/>
      <c r="P152" s="46" t="str">
        <f aca="false">IF(OR(A152="",O152=""),"",O152+RegDays)</f>
        <v/>
      </c>
      <c r="Q152" s="46" t="str">
        <f aca="false">IF(A152="","",IF(SUMPRODUCT(MAX((Versions!$B$2:$B$501=A152)*(Versions!$M$2:$M$501="Yes")*ROW(Versions!$B$2:$B$501)))=0,"",INDEX(Versions!$A$1:$A$501,SUMPRODUCT(MAX((Versions!$B$2:$B$501=A152)*(Versions!$M$2:$M$501="Yes")*ROW(Versions!$B$2:$B$501))))))</f>
        <v/>
      </c>
      <c r="R152" s="46" t="str">
        <f aca="false">IF(A152="","",COUNTIF(Comments!$B$2:$B$2001,A152))</f>
        <v/>
      </c>
      <c r="S152" s="46" t="str">
        <f aca="false">IF(A152="","",COUNTIFS(Comments!$B$2:$B$2001,A152,Comments!$N$2:$N$2001,"Open"))</f>
        <v/>
      </c>
      <c r="T152" s="46" t="str">
        <f aca="false">IF(A152="","",COUNTIFS('Deferred edits'!$C$2:$C$201,A152,'Deferred edits'!$G$2:$G$201,"Waiting"))</f>
        <v/>
      </c>
      <c r="U152" s="46" t="str">
        <f aca="false">IF(A152="","",IF(AND(I152&lt;&gt;"",I152&lt;AsOfDate),"▲ Next date passed",IF(AND(I152&lt;&gt;"",I152&lt;=AsOfDate+7),"● Next date within 7 days",IF(AND(P152&lt;&gt;"",P152&lt;AsOfDate,N152&lt;&gt;"Complete"),"▲ Regulation past target",IF(S152&gt;0,"Open comments","")))))</f>
        <v/>
      </c>
      <c r="V152" s="46"/>
      <c r="W152" s="46"/>
      <c r="X152" s="46"/>
    </row>
    <row r="153" customFormat="false" ht="15" hidden="false" customHeight="false" outlineLevel="0" collapsed="false">
      <c r="A153" s="46"/>
      <c r="B153" s="46"/>
      <c r="C153" s="46"/>
      <c r="D153" s="46"/>
      <c r="E153" s="46"/>
      <c r="F153" s="46"/>
      <c r="G153" s="46"/>
      <c r="H153" s="46"/>
      <c r="I153" s="46"/>
      <c r="J153" s="46"/>
      <c r="K153" s="48" t="str">
        <f aca="false">IF(W153="","",HYPERLINK(W153,"Simbli"))</f>
        <v/>
      </c>
      <c r="L153" s="48" t="str">
        <f aca="false">IF(X153="","",HYPERLINK(X153,"Simbli"))</f>
        <v/>
      </c>
      <c r="M153" s="46"/>
      <c r="N153" s="46"/>
      <c r="O153" s="46"/>
      <c r="P153" s="46" t="str">
        <f aca="false">IF(OR(A153="",O153=""),"",O153+RegDays)</f>
        <v/>
      </c>
      <c r="Q153" s="46" t="str">
        <f aca="false">IF(A153="","",IF(SUMPRODUCT(MAX((Versions!$B$2:$B$501=A153)*(Versions!$M$2:$M$501="Yes")*ROW(Versions!$B$2:$B$501)))=0,"",INDEX(Versions!$A$1:$A$501,SUMPRODUCT(MAX((Versions!$B$2:$B$501=A153)*(Versions!$M$2:$M$501="Yes")*ROW(Versions!$B$2:$B$501))))))</f>
        <v/>
      </c>
      <c r="R153" s="46" t="str">
        <f aca="false">IF(A153="","",COUNTIF(Comments!$B$2:$B$2001,A153))</f>
        <v/>
      </c>
      <c r="S153" s="46" t="str">
        <f aca="false">IF(A153="","",COUNTIFS(Comments!$B$2:$B$2001,A153,Comments!$N$2:$N$2001,"Open"))</f>
        <v/>
      </c>
      <c r="T153" s="46" t="str">
        <f aca="false">IF(A153="","",COUNTIFS('Deferred edits'!$C$2:$C$201,A153,'Deferred edits'!$G$2:$G$201,"Waiting"))</f>
        <v/>
      </c>
      <c r="U153" s="46" t="str">
        <f aca="false">IF(A153="","",IF(AND(I153&lt;&gt;"",I153&lt;AsOfDate),"▲ Next date passed",IF(AND(I153&lt;&gt;"",I153&lt;=AsOfDate+7),"● Next date within 7 days",IF(AND(P153&lt;&gt;"",P153&lt;AsOfDate,N153&lt;&gt;"Complete"),"▲ Regulation past target",IF(S153&gt;0,"Open comments","")))))</f>
        <v/>
      </c>
      <c r="V153" s="46"/>
      <c r="W153" s="46"/>
      <c r="X153" s="46"/>
    </row>
    <row r="154" customFormat="false" ht="15" hidden="false" customHeight="false" outlineLevel="0" collapsed="false">
      <c r="A154" s="46"/>
      <c r="B154" s="46"/>
      <c r="C154" s="46"/>
      <c r="D154" s="46"/>
      <c r="E154" s="46"/>
      <c r="F154" s="46"/>
      <c r="G154" s="46"/>
      <c r="H154" s="46"/>
      <c r="I154" s="46"/>
      <c r="J154" s="46"/>
      <c r="K154" s="48" t="str">
        <f aca="false">IF(W154="","",HYPERLINK(W154,"Simbli"))</f>
        <v/>
      </c>
      <c r="L154" s="48" t="str">
        <f aca="false">IF(X154="","",HYPERLINK(X154,"Simbli"))</f>
        <v/>
      </c>
      <c r="M154" s="46"/>
      <c r="N154" s="46"/>
      <c r="O154" s="46"/>
      <c r="P154" s="46" t="str">
        <f aca="false">IF(OR(A154="",O154=""),"",O154+RegDays)</f>
        <v/>
      </c>
      <c r="Q154" s="46" t="str">
        <f aca="false">IF(A154="","",IF(SUMPRODUCT(MAX((Versions!$B$2:$B$501=A154)*(Versions!$M$2:$M$501="Yes")*ROW(Versions!$B$2:$B$501)))=0,"",INDEX(Versions!$A$1:$A$501,SUMPRODUCT(MAX((Versions!$B$2:$B$501=A154)*(Versions!$M$2:$M$501="Yes")*ROW(Versions!$B$2:$B$501))))))</f>
        <v/>
      </c>
      <c r="R154" s="46" t="str">
        <f aca="false">IF(A154="","",COUNTIF(Comments!$B$2:$B$2001,A154))</f>
        <v/>
      </c>
      <c r="S154" s="46" t="str">
        <f aca="false">IF(A154="","",COUNTIFS(Comments!$B$2:$B$2001,A154,Comments!$N$2:$N$2001,"Open"))</f>
        <v/>
      </c>
      <c r="T154" s="46" t="str">
        <f aca="false">IF(A154="","",COUNTIFS('Deferred edits'!$C$2:$C$201,A154,'Deferred edits'!$G$2:$G$201,"Waiting"))</f>
        <v/>
      </c>
      <c r="U154" s="46" t="str">
        <f aca="false">IF(A154="","",IF(AND(I154&lt;&gt;"",I154&lt;AsOfDate),"▲ Next date passed",IF(AND(I154&lt;&gt;"",I154&lt;=AsOfDate+7),"● Next date within 7 days",IF(AND(P154&lt;&gt;"",P154&lt;AsOfDate,N154&lt;&gt;"Complete"),"▲ Regulation past target",IF(S154&gt;0,"Open comments","")))))</f>
        <v/>
      </c>
      <c r="V154" s="46"/>
      <c r="W154" s="46"/>
      <c r="X154" s="46"/>
    </row>
    <row r="155" customFormat="false" ht="15" hidden="false" customHeight="false" outlineLevel="0" collapsed="false">
      <c r="A155" s="46"/>
      <c r="B155" s="46"/>
      <c r="C155" s="46"/>
      <c r="D155" s="46"/>
      <c r="E155" s="46"/>
      <c r="F155" s="46"/>
      <c r="G155" s="46"/>
      <c r="H155" s="46"/>
      <c r="I155" s="46"/>
      <c r="J155" s="46"/>
      <c r="K155" s="48" t="str">
        <f aca="false">IF(W155="","",HYPERLINK(W155,"Simbli"))</f>
        <v/>
      </c>
      <c r="L155" s="48" t="str">
        <f aca="false">IF(X155="","",HYPERLINK(X155,"Simbli"))</f>
        <v/>
      </c>
      <c r="M155" s="46"/>
      <c r="N155" s="46"/>
      <c r="O155" s="46"/>
      <c r="P155" s="46" t="str">
        <f aca="false">IF(OR(A155="",O155=""),"",O155+RegDays)</f>
        <v/>
      </c>
      <c r="Q155" s="46" t="str">
        <f aca="false">IF(A155="","",IF(SUMPRODUCT(MAX((Versions!$B$2:$B$501=A155)*(Versions!$M$2:$M$501="Yes")*ROW(Versions!$B$2:$B$501)))=0,"",INDEX(Versions!$A$1:$A$501,SUMPRODUCT(MAX((Versions!$B$2:$B$501=A155)*(Versions!$M$2:$M$501="Yes")*ROW(Versions!$B$2:$B$501))))))</f>
        <v/>
      </c>
      <c r="R155" s="46" t="str">
        <f aca="false">IF(A155="","",COUNTIF(Comments!$B$2:$B$2001,A155))</f>
        <v/>
      </c>
      <c r="S155" s="46" t="str">
        <f aca="false">IF(A155="","",COUNTIFS(Comments!$B$2:$B$2001,A155,Comments!$N$2:$N$2001,"Open"))</f>
        <v/>
      </c>
      <c r="T155" s="46" t="str">
        <f aca="false">IF(A155="","",COUNTIFS('Deferred edits'!$C$2:$C$201,A155,'Deferred edits'!$G$2:$G$201,"Waiting"))</f>
        <v/>
      </c>
      <c r="U155" s="46" t="str">
        <f aca="false">IF(A155="","",IF(AND(I155&lt;&gt;"",I155&lt;AsOfDate),"▲ Next date passed",IF(AND(I155&lt;&gt;"",I155&lt;=AsOfDate+7),"● Next date within 7 days",IF(AND(P155&lt;&gt;"",P155&lt;AsOfDate,N155&lt;&gt;"Complete"),"▲ Regulation past target",IF(S155&gt;0,"Open comments","")))))</f>
        <v/>
      </c>
      <c r="V155" s="46"/>
      <c r="W155" s="46"/>
      <c r="X155" s="46"/>
    </row>
    <row r="156" customFormat="false" ht="15" hidden="false" customHeight="false" outlineLevel="0" collapsed="false">
      <c r="A156" s="46"/>
      <c r="B156" s="46"/>
      <c r="C156" s="46"/>
      <c r="D156" s="46"/>
      <c r="E156" s="46"/>
      <c r="F156" s="46"/>
      <c r="G156" s="46"/>
      <c r="H156" s="46"/>
      <c r="I156" s="46"/>
      <c r="J156" s="46"/>
      <c r="K156" s="48" t="str">
        <f aca="false">IF(W156="","",HYPERLINK(W156,"Simbli"))</f>
        <v/>
      </c>
      <c r="L156" s="48" t="str">
        <f aca="false">IF(X156="","",HYPERLINK(X156,"Simbli"))</f>
        <v/>
      </c>
      <c r="M156" s="46"/>
      <c r="N156" s="46"/>
      <c r="O156" s="46"/>
      <c r="P156" s="46" t="str">
        <f aca="false">IF(OR(A156="",O156=""),"",O156+RegDays)</f>
        <v/>
      </c>
      <c r="Q156" s="46" t="str">
        <f aca="false">IF(A156="","",IF(SUMPRODUCT(MAX((Versions!$B$2:$B$501=A156)*(Versions!$M$2:$M$501="Yes")*ROW(Versions!$B$2:$B$501)))=0,"",INDEX(Versions!$A$1:$A$501,SUMPRODUCT(MAX((Versions!$B$2:$B$501=A156)*(Versions!$M$2:$M$501="Yes")*ROW(Versions!$B$2:$B$501))))))</f>
        <v/>
      </c>
      <c r="R156" s="46" t="str">
        <f aca="false">IF(A156="","",COUNTIF(Comments!$B$2:$B$2001,A156))</f>
        <v/>
      </c>
      <c r="S156" s="46" t="str">
        <f aca="false">IF(A156="","",COUNTIFS(Comments!$B$2:$B$2001,A156,Comments!$N$2:$N$2001,"Open"))</f>
        <v/>
      </c>
      <c r="T156" s="46" t="str">
        <f aca="false">IF(A156="","",COUNTIFS('Deferred edits'!$C$2:$C$201,A156,'Deferred edits'!$G$2:$G$201,"Waiting"))</f>
        <v/>
      </c>
      <c r="U156" s="46" t="str">
        <f aca="false">IF(A156="","",IF(AND(I156&lt;&gt;"",I156&lt;AsOfDate),"▲ Next date passed",IF(AND(I156&lt;&gt;"",I156&lt;=AsOfDate+7),"● Next date within 7 days",IF(AND(P156&lt;&gt;"",P156&lt;AsOfDate,N156&lt;&gt;"Complete"),"▲ Regulation past target",IF(S156&gt;0,"Open comments","")))))</f>
        <v/>
      </c>
      <c r="V156" s="46"/>
      <c r="W156" s="46"/>
      <c r="X156" s="46"/>
    </row>
    <row r="157" customFormat="false" ht="15" hidden="false" customHeight="false" outlineLevel="0" collapsed="false">
      <c r="A157" s="46"/>
      <c r="B157" s="46"/>
      <c r="C157" s="46"/>
      <c r="D157" s="46"/>
      <c r="E157" s="46"/>
      <c r="F157" s="46"/>
      <c r="G157" s="46"/>
      <c r="H157" s="46"/>
      <c r="I157" s="46"/>
      <c r="J157" s="46"/>
      <c r="K157" s="48" t="str">
        <f aca="false">IF(W157="","",HYPERLINK(W157,"Simbli"))</f>
        <v/>
      </c>
      <c r="L157" s="48" t="str">
        <f aca="false">IF(X157="","",HYPERLINK(X157,"Simbli"))</f>
        <v/>
      </c>
      <c r="M157" s="46"/>
      <c r="N157" s="46"/>
      <c r="O157" s="46"/>
      <c r="P157" s="46" t="str">
        <f aca="false">IF(OR(A157="",O157=""),"",O157+RegDays)</f>
        <v/>
      </c>
      <c r="Q157" s="46" t="str">
        <f aca="false">IF(A157="","",IF(SUMPRODUCT(MAX((Versions!$B$2:$B$501=A157)*(Versions!$M$2:$M$501="Yes")*ROW(Versions!$B$2:$B$501)))=0,"",INDEX(Versions!$A$1:$A$501,SUMPRODUCT(MAX((Versions!$B$2:$B$501=A157)*(Versions!$M$2:$M$501="Yes")*ROW(Versions!$B$2:$B$501))))))</f>
        <v/>
      </c>
      <c r="R157" s="46" t="str">
        <f aca="false">IF(A157="","",COUNTIF(Comments!$B$2:$B$2001,A157))</f>
        <v/>
      </c>
      <c r="S157" s="46" t="str">
        <f aca="false">IF(A157="","",COUNTIFS(Comments!$B$2:$B$2001,A157,Comments!$N$2:$N$2001,"Open"))</f>
        <v/>
      </c>
      <c r="T157" s="46" t="str">
        <f aca="false">IF(A157="","",COUNTIFS('Deferred edits'!$C$2:$C$201,A157,'Deferred edits'!$G$2:$G$201,"Waiting"))</f>
        <v/>
      </c>
      <c r="U157" s="46" t="str">
        <f aca="false">IF(A157="","",IF(AND(I157&lt;&gt;"",I157&lt;AsOfDate),"▲ Next date passed",IF(AND(I157&lt;&gt;"",I157&lt;=AsOfDate+7),"● Next date within 7 days",IF(AND(P157&lt;&gt;"",P157&lt;AsOfDate,N157&lt;&gt;"Complete"),"▲ Regulation past target",IF(S157&gt;0,"Open comments","")))))</f>
        <v/>
      </c>
      <c r="V157" s="46"/>
      <c r="W157" s="46"/>
      <c r="X157" s="46"/>
    </row>
    <row r="158" customFormat="false" ht="15" hidden="false" customHeight="false" outlineLevel="0" collapsed="false">
      <c r="A158" s="46"/>
      <c r="B158" s="46"/>
      <c r="C158" s="46"/>
      <c r="D158" s="46"/>
      <c r="E158" s="46"/>
      <c r="F158" s="46"/>
      <c r="G158" s="46"/>
      <c r="H158" s="46"/>
      <c r="I158" s="46"/>
      <c r="J158" s="46"/>
      <c r="K158" s="48" t="str">
        <f aca="false">IF(W158="","",HYPERLINK(W158,"Simbli"))</f>
        <v/>
      </c>
      <c r="L158" s="48" t="str">
        <f aca="false">IF(X158="","",HYPERLINK(X158,"Simbli"))</f>
        <v/>
      </c>
      <c r="M158" s="46"/>
      <c r="N158" s="46"/>
      <c r="O158" s="46"/>
      <c r="P158" s="46" t="str">
        <f aca="false">IF(OR(A158="",O158=""),"",O158+RegDays)</f>
        <v/>
      </c>
      <c r="Q158" s="46" t="str">
        <f aca="false">IF(A158="","",IF(SUMPRODUCT(MAX((Versions!$B$2:$B$501=A158)*(Versions!$M$2:$M$501="Yes")*ROW(Versions!$B$2:$B$501)))=0,"",INDEX(Versions!$A$1:$A$501,SUMPRODUCT(MAX((Versions!$B$2:$B$501=A158)*(Versions!$M$2:$M$501="Yes")*ROW(Versions!$B$2:$B$501))))))</f>
        <v/>
      </c>
      <c r="R158" s="46" t="str">
        <f aca="false">IF(A158="","",COUNTIF(Comments!$B$2:$B$2001,A158))</f>
        <v/>
      </c>
      <c r="S158" s="46" t="str">
        <f aca="false">IF(A158="","",COUNTIFS(Comments!$B$2:$B$2001,A158,Comments!$N$2:$N$2001,"Open"))</f>
        <v/>
      </c>
      <c r="T158" s="46" t="str">
        <f aca="false">IF(A158="","",COUNTIFS('Deferred edits'!$C$2:$C$201,A158,'Deferred edits'!$G$2:$G$201,"Waiting"))</f>
        <v/>
      </c>
      <c r="U158" s="46" t="str">
        <f aca="false">IF(A158="","",IF(AND(I158&lt;&gt;"",I158&lt;AsOfDate),"▲ Next date passed",IF(AND(I158&lt;&gt;"",I158&lt;=AsOfDate+7),"● Next date within 7 days",IF(AND(P158&lt;&gt;"",P158&lt;AsOfDate,N158&lt;&gt;"Complete"),"▲ Regulation past target",IF(S158&gt;0,"Open comments","")))))</f>
        <v/>
      </c>
      <c r="V158" s="46"/>
      <c r="W158" s="46"/>
      <c r="X158" s="46"/>
    </row>
    <row r="159" customFormat="false" ht="15" hidden="false" customHeight="false" outlineLevel="0" collapsed="false">
      <c r="A159" s="46"/>
      <c r="B159" s="46"/>
      <c r="C159" s="46"/>
      <c r="D159" s="46"/>
      <c r="E159" s="46"/>
      <c r="F159" s="46"/>
      <c r="G159" s="46"/>
      <c r="H159" s="46"/>
      <c r="I159" s="46"/>
      <c r="J159" s="46"/>
      <c r="K159" s="48" t="str">
        <f aca="false">IF(W159="","",HYPERLINK(W159,"Simbli"))</f>
        <v/>
      </c>
      <c r="L159" s="48" t="str">
        <f aca="false">IF(X159="","",HYPERLINK(X159,"Simbli"))</f>
        <v/>
      </c>
      <c r="M159" s="46"/>
      <c r="N159" s="46"/>
      <c r="O159" s="46"/>
      <c r="P159" s="46" t="str">
        <f aca="false">IF(OR(A159="",O159=""),"",O159+RegDays)</f>
        <v/>
      </c>
      <c r="Q159" s="46" t="str">
        <f aca="false">IF(A159="","",IF(SUMPRODUCT(MAX((Versions!$B$2:$B$501=A159)*(Versions!$M$2:$M$501="Yes")*ROW(Versions!$B$2:$B$501)))=0,"",INDEX(Versions!$A$1:$A$501,SUMPRODUCT(MAX((Versions!$B$2:$B$501=A159)*(Versions!$M$2:$M$501="Yes")*ROW(Versions!$B$2:$B$501))))))</f>
        <v/>
      </c>
      <c r="R159" s="46" t="str">
        <f aca="false">IF(A159="","",COUNTIF(Comments!$B$2:$B$2001,A159))</f>
        <v/>
      </c>
      <c r="S159" s="46" t="str">
        <f aca="false">IF(A159="","",COUNTIFS(Comments!$B$2:$B$2001,A159,Comments!$N$2:$N$2001,"Open"))</f>
        <v/>
      </c>
      <c r="T159" s="46" t="str">
        <f aca="false">IF(A159="","",COUNTIFS('Deferred edits'!$C$2:$C$201,A159,'Deferred edits'!$G$2:$G$201,"Waiting"))</f>
        <v/>
      </c>
      <c r="U159" s="46" t="str">
        <f aca="false">IF(A159="","",IF(AND(I159&lt;&gt;"",I159&lt;AsOfDate),"▲ Next date passed",IF(AND(I159&lt;&gt;"",I159&lt;=AsOfDate+7),"● Next date within 7 days",IF(AND(P159&lt;&gt;"",P159&lt;AsOfDate,N159&lt;&gt;"Complete"),"▲ Regulation past target",IF(S159&gt;0,"Open comments","")))))</f>
        <v/>
      </c>
      <c r="V159" s="46"/>
      <c r="W159" s="46"/>
      <c r="X159" s="46"/>
    </row>
    <row r="160" customFormat="false" ht="15" hidden="false" customHeight="false" outlineLevel="0" collapsed="false">
      <c r="A160" s="46"/>
      <c r="B160" s="46"/>
      <c r="C160" s="46"/>
      <c r="D160" s="46"/>
      <c r="E160" s="46"/>
      <c r="F160" s="46"/>
      <c r="G160" s="46"/>
      <c r="H160" s="46"/>
      <c r="I160" s="46"/>
      <c r="J160" s="46"/>
      <c r="K160" s="48" t="str">
        <f aca="false">IF(W160="","",HYPERLINK(W160,"Simbli"))</f>
        <v/>
      </c>
      <c r="L160" s="48" t="str">
        <f aca="false">IF(X160="","",HYPERLINK(X160,"Simbli"))</f>
        <v/>
      </c>
      <c r="M160" s="46"/>
      <c r="N160" s="46"/>
      <c r="O160" s="46"/>
      <c r="P160" s="46" t="str">
        <f aca="false">IF(OR(A160="",O160=""),"",O160+RegDays)</f>
        <v/>
      </c>
      <c r="Q160" s="46" t="str">
        <f aca="false">IF(A160="","",IF(SUMPRODUCT(MAX((Versions!$B$2:$B$501=A160)*(Versions!$M$2:$M$501="Yes")*ROW(Versions!$B$2:$B$501)))=0,"",INDEX(Versions!$A$1:$A$501,SUMPRODUCT(MAX((Versions!$B$2:$B$501=A160)*(Versions!$M$2:$M$501="Yes")*ROW(Versions!$B$2:$B$501))))))</f>
        <v/>
      </c>
      <c r="R160" s="46" t="str">
        <f aca="false">IF(A160="","",COUNTIF(Comments!$B$2:$B$2001,A160))</f>
        <v/>
      </c>
      <c r="S160" s="46" t="str">
        <f aca="false">IF(A160="","",COUNTIFS(Comments!$B$2:$B$2001,A160,Comments!$N$2:$N$2001,"Open"))</f>
        <v/>
      </c>
      <c r="T160" s="46" t="str">
        <f aca="false">IF(A160="","",COUNTIFS('Deferred edits'!$C$2:$C$201,A160,'Deferred edits'!$G$2:$G$201,"Waiting"))</f>
        <v/>
      </c>
      <c r="U160" s="46" t="str">
        <f aca="false">IF(A160="","",IF(AND(I160&lt;&gt;"",I160&lt;AsOfDate),"▲ Next date passed",IF(AND(I160&lt;&gt;"",I160&lt;=AsOfDate+7),"● Next date within 7 days",IF(AND(P160&lt;&gt;"",P160&lt;AsOfDate,N160&lt;&gt;"Complete"),"▲ Regulation past target",IF(S160&gt;0,"Open comments","")))))</f>
        <v/>
      </c>
      <c r="V160" s="46"/>
      <c r="W160" s="46"/>
      <c r="X160" s="46"/>
    </row>
    <row r="161" customFormat="false" ht="15" hidden="false" customHeight="false" outlineLevel="0" collapsed="false">
      <c r="A161" s="46"/>
      <c r="B161" s="46"/>
      <c r="C161" s="46"/>
      <c r="D161" s="46"/>
      <c r="E161" s="46"/>
      <c r="F161" s="46"/>
      <c r="G161" s="46"/>
      <c r="H161" s="46"/>
      <c r="I161" s="46"/>
      <c r="J161" s="46"/>
      <c r="K161" s="48" t="str">
        <f aca="false">IF(W161="","",HYPERLINK(W161,"Simbli"))</f>
        <v/>
      </c>
      <c r="L161" s="48" t="str">
        <f aca="false">IF(X161="","",HYPERLINK(X161,"Simbli"))</f>
        <v/>
      </c>
      <c r="M161" s="46"/>
      <c r="N161" s="46"/>
      <c r="O161" s="46"/>
      <c r="P161" s="46" t="str">
        <f aca="false">IF(OR(A161="",O161=""),"",O161+RegDays)</f>
        <v/>
      </c>
      <c r="Q161" s="46" t="str">
        <f aca="false">IF(A161="","",IF(SUMPRODUCT(MAX((Versions!$B$2:$B$501=A161)*(Versions!$M$2:$M$501="Yes")*ROW(Versions!$B$2:$B$501)))=0,"",INDEX(Versions!$A$1:$A$501,SUMPRODUCT(MAX((Versions!$B$2:$B$501=A161)*(Versions!$M$2:$M$501="Yes")*ROW(Versions!$B$2:$B$501))))))</f>
        <v/>
      </c>
      <c r="R161" s="46" t="str">
        <f aca="false">IF(A161="","",COUNTIF(Comments!$B$2:$B$2001,A161))</f>
        <v/>
      </c>
      <c r="S161" s="46" t="str">
        <f aca="false">IF(A161="","",COUNTIFS(Comments!$B$2:$B$2001,A161,Comments!$N$2:$N$2001,"Open"))</f>
        <v/>
      </c>
      <c r="T161" s="46" t="str">
        <f aca="false">IF(A161="","",COUNTIFS('Deferred edits'!$C$2:$C$201,A161,'Deferred edits'!$G$2:$G$201,"Waiting"))</f>
        <v/>
      </c>
      <c r="U161" s="46" t="str">
        <f aca="false">IF(A161="","",IF(AND(I161&lt;&gt;"",I161&lt;AsOfDate),"▲ Next date passed",IF(AND(I161&lt;&gt;"",I161&lt;=AsOfDate+7),"● Next date within 7 days",IF(AND(P161&lt;&gt;"",P161&lt;AsOfDate,N161&lt;&gt;"Complete"),"▲ Regulation past target",IF(S161&gt;0,"Open comments","")))))</f>
        <v/>
      </c>
      <c r="V161" s="46"/>
      <c r="W161" s="46"/>
      <c r="X161" s="46"/>
    </row>
    <row r="162" customFormat="false" ht="15" hidden="false" customHeight="false" outlineLevel="0" collapsed="false">
      <c r="A162" s="46"/>
      <c r="B162" s="46"/>
      <c r="C162" s="46"/>
      <c r="D162" s="46"/>
      <c r="E162" s="46"/>
      <c r="F162" s="46"/>
      <c r="G162" s="46"/>
      <c r="H162" s="46"/>
      <c r="I162" s="46"/>
      <c r="J162" s="46"/>
      <c r="K162" s="48" t="str">
        <f aca="false">IF(W162="","",HYPERLINK(W162,"Simbli"))</f>
        <v/>
      </c>
      <c r="L162" s="48" t="str">
        <f aca="false">IF(X162="","",HYPERLINK(X162,"Simbli"))</f>
        <v/>
      </c>
      <c r="M162" s="46"/>
      <c r="N162" s="46"/>
      <c r="O162" s="46"/>
      <c r="P162" s="46" t="str">
        <f aca="false">IF(OR(A162="",O162=""),"",O162+RegDays)</f>
        <v/>
      </c>
      <c r="Q162" s="46" t="str">
        <f aca="false">IF(A162="","",IF(SUMPRODUCT(MAX((Versions!$B$2:$B$501=A162)*(Versions!$M$2:$M$501="Yes")*ROW(Versions!$B$2:$B$501)))=0,"",INDEX(Versions!$A$1:$A$501,SUMPRODUCT(MAX((Versions!$B$2:$B$501=A162)*(Versions!$M$2:$M$501="Yes")*ROW(Versions!$B$2:$B$501))))))</f>
        <v/>
      </c>
      <c r="R162" s="46" t="str">
        <f aca="false">IF(A162="","",COUNTIF(Comments!$B$2:$B$2001,A162))</f>
        <v/>
      </c>
      <c r="S162" s="46" t="str">
        <f aca="false">IF(A162="","",COUNTIFS(Comments!$B$2:$B$2001,A162,Comments!$N$2:$N$2001,"Open"))</f>
        <v/>
      </c>
      <c r="T162" s="46" t="str">
        <f aca="false">IF(A162="","",COUNTIFS('Deferred edits'!$C$2:$C$201,A162,'Deferred edits'!$G$2:$G$201,"Waiting"))</f>
        <v/>
      </c>
      <c r="U162" s="46" t="str">
        <f aca="false">IF(A162="","",IF(AND(I162&lt;&gt;"",I162&lt;AsOfDate),"▲ Next date passed",IF(AND(I162&lt;&gt;"",I162&lt;=AsOfDate+7),"● Next date within 7 days",IF(AND(P162&lt;&gt;"",P162&lt;AsOfDate,N162&lt;&gt;"Complete"),"▲ Regulation past target",IF(S162&gt;0,"Open comments","")))))</f>
        <v/>
      </c>
      <c r="V162" s="46"/>
      <c r="W162" s="46"/>
      <c r="X162" s="46"/>
    </row>
    <row r="163" customFormat="false" ht="15" hidden="false" customHeight="false" outlineLevel="0" collapsed="false">
      <c r="A163" s="46"/>
      <c r="B163" s="46"/>
      <c r="C163" s="46"/>
      <c r="D163" s="46"/>
      <c r="E163" s="46"/>
      <c r="F163" s="46"/>
      <c r="G163" s="46"/>
      <c r="H163" s="46"/>
      <c r="I163" s="46"/>
      <c r="J163" s="46"/>
      <c r="K163" s="48" t="str">
        <f aca="false">IF(W163="","",HYPERLINK(W163,"Simbli"))</f>
        <v/>
      </c>
      <c r="L163" s="48" t="str">
        <f aca="false">IF(X163="","",HYPERLINK(X163,"Simbli"))</f>
        <v/>
      </c>
      <c r="M163" s="46"/>
      <c r="N163" s="46"/>
      <c r="O163" s="46"/>
      <c r="P163" s="46" t="str">
        <f aca="false">IF(OR(A163="",O163=""),"",O163+RegDays)</f>
        <v/>
      </c>
      <c r="Q163" s="46" t="str">
        <f aca="false">IF(A163="","",IF(SUMPRODUCT(MAX((Versions!$B$2:$B$501=A163)*(Versions!$M$2:$M$501="Yes")*ROW(Versions!$B$2:$B$501)))=0,"",INDEX(Versions!$A$1:$A$501,SUMPRODUCT(MAX((Versions!$B$2:$B$501=A163)*(Versions!$M$2:$M$501="Yes")*ROW(Versions!$B$2:$B$501))))))</f>
        <v/>
      </c>
      <c r="R163" s="46" t="str">
        <f aca="false">IF(A163="","",COUNTIF(Comments!$B$2:$B$2001,A163))</f>
        <v/>
      </c>
      <c r="S163" s="46" t="str">
        <f aca="false">IF(A163="","",COUNTIFS(Comments!$B$2:$B$2001,A163,Comments!$N$2:$N$2001,"Open"))</f>
        <v/>
      </c>
      <c r="T163" s="46" t="str">
        <f aca="false">IF(A163="","",COUNTIFS('Deferred edits'!$C$2:$C$201,A163,'Deferred edits'!$G$2:$G$201,"Waiting"))</f>
        <v/>
      </c>
      <c r="U163" s="46" t="str">
        <f aca="false">IF(A163="","",IF(AND(I163&lt;&gt;"",I163&lt;AsOfDate),"▲ Next date passed",IF(AND(I163&lt;&gt;"",I163&lt;=AsOfDate+7),"● Next date within 7 days",IF(AND(P163&lt;&gt;"",P163&lt;AsOfDate,N163&lt;&gt;"Complete"),"▲ Regulation past target",IF(S163&gt;0,"Open comments","")))))</f>
        <v/>
      </c>
      <c r="V163" s="46"/>
      <c r="W163" s="46"/>
      <c r="X163" s="46"/>
    </row>
    <row r="164" customFormat="false" ht="15" hidden="false" customHeight="false" outlineLevel="0" collapsed="false">
      <c r="A164" s="46"/>
      <c r="B164" s="46"/>
      <c r="C164" s="46"/>
      <c r="D164" s="46"/>
      <c r="E164" s="46"/>
      <c r="F164" s="46"/>
      <c r="G164" s="46"/>
      <c r="H164" s="46"/>
      <c r="I164" s="46"/>
      <c r="J164" s="46"/>
      <c r="K164" s="48" t="str">
        <f aca="false">IF(W164="","",HYPERLINK(W164,"Simbli"))</f>
        <v/>
      </c>
      <c r="L164" s="48" t="str">
        <f aca="false">IF(X164="","",HYPERLINK(X164,"Simbli"))</f>
        <v/>
      </c>
      <c r="M164" s="46"/>
      <c r="N164" s="46"/>
      <c r="O164" s="46"/>
      <c r="P164" s="46" t="str">
        <f aca="false">IF(OR(A164="",O164=""),"",O164+RegDays)</f>
        <v/>
      </c>
      <c r="Q164" s="46" t="str">
        <f aca="false">IF(A164="","",IF(SUMPRODUCT(MAX((Versions!$B$2:$B$501=A164)*(Versions!$M$2:$M$501="Yes")*ROW(Versions!$B$2:$B$501)))=0,"",INDEX(Versions!$A$1:$A$501,SUMPRODUCT(MAX((Versions!$B$2:$B$501=A164)*(Versions!$M$2:$M$501="Yes")*ROW(Versions!$B$2:$B$501))))))</f>
        <v/>
      </c>
      <c r="R164" s="46" t="str">
        <f aca="false">IF(A164="","",COUNTIF(Comments!$B$2:$B$2001,A164))</f>
        <v/>
      </c>
      <c r="S164" s="46" t="str">
        <f aca="false">IF(A164="","",COUNTIFS(Comments!$B$2:$B$2001,A164,Comments!$N$2:$N$2001,"Open"))</f>
        <v/>
      </c>
      <c r="T164" s="46" t="str">
        <f aca="false">IF(A164="","",COUNTIFS('Deferred edits'!$C$2:$C$201,A164,'Deferred edits'!$G$2:$G$201,"Waiting"))</f>
        <v/>
      </c>
      <c r="U164" s="46" t="str">
        <f aca="false">IF(A164="","",IF(AND(I164&lt;&gt;"",I164&lt;AsOfDate),"▲ Next date passed",IF(AND(I164&lt;&gt;"",I164&lt;=AsOfDate+7),"● Next date within 7 days",IF(AND(P164&lt;&gt;"",P164&lt;AsOfDate,N164&lt;&gt;"Complete"),"▲ Regulation past target",IF(S164&gt;0,"Open comments","")))))</f>
        <v/>
      </c>
      <c r="V164" s="46"/>
      <c r="W164" s="46"/>
      <c r="X164" s="46"/>
    </row>
    <row r="165" customFormat="false" ht="15" hidden="false" customHeight="false" outlineLevel="0" collapsed="false">
      <c r="A165" s="46"/>
      <c r="B165" s="46"/>
      <c r="C165" s="46"/>
      <c r="D165" s="46"/>
      <c r="E165" s="46"/>
      <c r="F165" s="46"/>
      <c r="G165" s="46"/>
      <c r="H165" s="46"/>
      <c r="I165" s="46"/>
      <c r="J165" s="46"/>
      <c r="K165" s="48" t="str">
        <f aca="false">IF(W165="","",HYPERLINK(W165,"Simbli"))</f>
        <v/>
      </c>
      <c r="L165" s="48" t="str">
        <f aca="false">IF(X165="","",HYPERLINK(X165,"Simbli"))</f>
        <v/>
      </c>
      <c r="M165" s="46"/>
      <c r="N165" s="46"/>
      <c r="O165" s="46"/>
      <c r="P165" s="46" t="str">
        <f aca="false">IF(OR(A165="",O165=""),"",O165+RegDays)</f>
        <v/>
      </c>
      <c r="Q165" s="46" t="str">
        <f aca="false">IF(A165="","",IF(SUMPRODUCT(MAX((Versions!$B$2:$B$501=A165)*(Versions!$M$2:$M$501="Yes")*ROW(Versions!$B$2:$B$501)))=0,"",INDEX(Versions!$A$1:$A$501,SUMPRODUCT(MAX((Versions!$B$2:$B$501=A165)*(Versions!$M$2:$M$501="Yes")*ROW(Versions!$B$2:$B$501))))))</f>
        <v/>
      </c>
      <c r="R165" s="46" t="str">
        <f aca="false">IF(A165="","",COUNTIF(Comments!$B$2:$B$2001,A165))</f>
        <v/>
      </c>
      <c r="S165" s="46" t="str">
        <f aca="false">IF(A165="","",COUNTIFS(Comments!$B$2:$B$2001,A165,Comments!$N$2:$N$2001,"Open"))</f>
        <v/>
      </c>
      <c r="T165" s="46" t="str">
        <f aca="false">IF(A165="","",COUNTIFS('Deferred edits'!$C$2:$C$201,A165,'Deferred edits'!$G$2:$G$201,"Waiting"))</f>
        <v/>
      </c>
      <c r="U165" s="46" t="str">
        <f aca="false">IF(A165="","",IF(AND(I165&lt;&gt;"",I165&lt;AsOfDate),"▲ Next date passed",IF(AND(I165&lt;&gt;"",I165&lt;=AsOfDate+7),"● Next date within 7 days",IF(AND(P165&lt;&gt;"",P165&lt;AsOfDate,N165&lt;&gt;"Complete"),"▲ Regulation past target",IF(S165&gt;0,"Open comments","")))))</f>
        <v/>
      </c>
      <c r="V165" s="46"/>
      <c r="W165" s="46"/>
      <c r="X165" s="46"/>
    </row>
    <row r="166" customFormat="false" ht="15" hidden="false" customHeight="false" outlineLevel="0" collapsed="false">
      <c r="A166" s="46"/>
      <c r="B166" s="46"/>
      <c r="C166" s="46"/>
      <c r="D166" s="46"/>
      <c r="E166" s="46"/>
      <c r="F166" s="46"/>
      <c r="G166" s="46"/>
      <c r="H166" s="46"/>
      <c r="I166" s="46"/>
      <c r="J166" s="46"/>
      <c r="K166" s="48" t="str">
        <f aca="false">IF(W166="","",HYPERLINK(W166,"Simbli"))</f>
        <v/>
      </c>
      <c r="L166" s="48" t="str">
        <f aca="false">IF(X166="","",HYPERLINK(X166,"Simbli"))</f>
        <v/>
      </c>
      <c r="M166" s="46"/>
      <c r="N166" s="46"/>
      <c r="O166" s="46"/>
      <c r="P166" s="46" t="str">
        <f aca="false">IF(OR(A166="",O166=""),"",O166+RegDays)</f>
        <v/>
      </c>
      <c r="Q166" s="46" t="str">
        <f aca="false">IF(A166="","",IF(SUMPRODUCT(MAX((Versions!$B$2:$B$501=A166)*(Versions!$M$2:$M$501="Yes")*ROW(Versions!$B$2:$B$501)))=0,"",INDEX(Versions!$A$1:$A$501,SUMPRODUCT(MAX((Versions!$B$2:$B$501=A166)*(Versions!$M$2:$M$501="Yes")*ROW(Versions!$B$2:$B$501))))))</f>
        <v/>
      </c>
      <c r="R166" s="46" t="str">
        <f aca="false">IF(A166="","",COUNTIF(Comments!$B$2:$B$2001,A166))</f>
        <v/>
      </c>
      <c r="S166" s="46" t="str">
        <f aca="false">IF(A166="","",COUNTIFS(Comments!$B$2:$B$2001,A166,Comments!$N$2:$N$2001,"Open"))</f>
        <v/>
      </c>
      <c r="T166" s="46" t="str">
        <f aca="false">IF(A166="","",COUNTIFS('Deferred edits'!$C$2:$C$201,A166,'Deferred edits'!$G$2:$G$201,"Waiting"))</f>
        <v/>
      </c>
      <c r="U166" s="46" t="str">
        <f aca="false">IF(A166="","",IF(AND(I166&lt;&gt;"",I166&lt;AsOfDate),"▲ Next date passed",IF(AND(I166&lt;&gt;"",I166&lt;=AsOfDate+7),"● Next date within 7 days",IF(AND(P166&lt;&gt;"",P166&lt;AsOfDate,N166&lt;&gt;"Complete"),"▲ Regulation past target",IF(S166&gt;0,"Open comments","")))))</f>
        <v/>
      </c>
      <c r="V166" s="46"/>
      <c r="W166" s="46"/>
      <c r="X166" s="46"/>
    </row>
    <row r="167" customFormat="false" ht="15" hidden="false" customHeight="false" outlineLevel="0" collapsed="false">
      <c r="A167" s="46"/>
      <c r="B167" s="46"/>
      <c r="C167" s="46"/>
      <c r="D167" s="46"/>
      <c r="E167" s="46"/>
      <c r="F167" s="46"/>
      <c r="G167" s="46"/>
      <c r="H167" s="46"/>
      <c r="I167" s="46"/>
      <c r="J167" s="46"/>
      <c r="K167" s="48" t="str">
        <f aca="false">IF(W167="","",HYPERLINK(W167,"Simbli"))</f>
        <v/>
      </c>
      <c r="L167" s="48" t="str">
        <f aca="false">IF(X167="","",HYPERLINK(X167,"Simbli"))</f>
        <v/>
      </c>
      <c r="M167" s="46"/>
      <c r="N167" s="46"/>
      <c r="O167" s="46"/>
      <c r="P167" s="46" t="str">
        <f aca="false">IF(OR(A167="",O167=""),"",O167+RegDays)</f>
        <v/>
      </c>
      <c r="Q167" s="46" t="str">
        <f aca="false">IF(A167="","",IF(SUMPRODUCT(MAX((Versions!$B$2:$B$501=A167)*(Versions!$M$2:$M$501="Yes")*ROW(Versions!$B$2:$B$501)))=0,"",INDEX(Versions!$A$1:$A$501,SUMPRODUCT(MAX((Versions!$B$2:$B$501=A167)*(Versions!$M$2:$M$501="Yes")*ROW(Versions!$B$2:$B$501))))))</f>
        <v/>
      </c>
      <c r="R167" s="46" t="str">
        <f aca="false">IF(A167="","",COUNTIF(Comments!$B$2:$B$2001,A167))</f>
        <v/>
      </c>
      <c r="S167" s="46" t="str">
        <f aca="false">IF(A167="","",COUNTIFS(Comments!$B$2:$B$2001,A167,Comments!$N$2:$N$2001,"Open"))</f>
        <v/>
      </c>
      <c r="T167" s="46" t="str">
        <f aca="false">IF(A167="","",COUNTIFS('Deferred edits'!$C$2:$C$201,A167,'Deferred edits'!$G$2:$G$201,"Waiting"))</f>
        <v/>
      </c>
      <c r="U167" s="46" t="str">
        <f aca="false">IF(A167="","",IF(AND(I167&lt;&gt;"",I167&lt;AsOfDate),"▲ Next date passed",IF(AND(I167&lt;&gt;"",I167&lt;=AsOfDate+7),"● Next date within 7 days",IF(AND(P167&lt;&gt;"",P167&lt;AsOfDate,N167&lt;&gt;"Complete"),"▲ Regulation past target",IF(S167&gt;0,"Open comments","")))))</f>
        <v/>
      </c>
      <c r="V167" s="46"/>
      <c r="W167" s="46"/>
      <c r="X167" s="46"/>
    </row>
    <row r="168" customFormat="false" ht="15" hidden="false" customHeight="false" outlineLevel="0" collapsed="false">
      <c r="A168" s="46"/>
      <c r="B168" s="46"/>
      <c r="C168" s="46"/>
      <c r="D168" s="46"/>
      <c r="E168" s="46"/>
      <c r="F168" s="46"/>
      <c r="G168" s="46"/>
      <c r="H168" s="46"/>
      <c r="I168" s="46"/>
      <c r="J168" s="46"/>
      <c r="K168" s="48" t="str">
        <f aca="false">IF(W168="","",HYPERLINK(W168,"Simbli"))</f>
        <v/>
      </c>
      <c r="L168" s="48" t="str">
        <f aca="false">IF(X168="","",HYPERLINK(X168,"Simbli"))</f>
        <v/>
      </c>
      <c r="M168" s="46"/>
      <c r="N168" s="46"/>
      <c r="O168" s="46"/>
      <c r="P168" s="46" t="str">
        <f aca="false">IF(OR(A168="",O168=""),"",O168+RegDays)</f>
        <v/>
      </c>
      <c r="Q168" s="46" t="str">
        <f aca="false">IF(A168="","",IF(SUMPRODUCT(MAX((Versions!$B$2:$B$501=A168)*(Versions!$M$2:$M$501="Yes")*ROW(Versions!$B$2:$B$501)))=0,"",INDEX(Versions!$A$1:$A$501,SUMPRODUCT(MAX((Versions!$B$2:$B$501=A168)*(Versions!$M$2:$M$501="Yes")*ROW(Versions!$B$2:$B$501))))))</f>
        <v/>
      </c>
      <c r="R168" s="46" t="str">
        <f aca="false">IF(A168="","",COUNTIF(Comments!$B$2:$B$2001,A168))</f>
        <v/>
      </c>
      <c r="S168" s="46" t="str">
        <f aca="false">IF(A168="","",COUNTIFS(Comments!$B$2:$B$2001,A168,Comments!$N$2:$N$2001,"Open"))</f>
        <v/>
      </c>
      <c r="T168" s="46" t="str">
        <f aca="false">IF(A168="","",COUNTIFS('Deferred edits'!$C$2:$C$201,A168,'Deferred edits'!$G$2:$G$201,"Waiting"))</f>
        <v/>
      </c>
      <c r="U168" s="46" t="str">
        <f aca="false">IF(A168="","",IF(AND(I168&lt;&gt;"",I168&lt;AsOfDate),"▲ Next date passed",IF(AND(I168&lt;&gt;"",I168&lt;=AsOfDate+7),"● Next date within 7 days",IF(AND(P168&lt;&gt;"",P168&lt;AsOfDate,N168&lt;&gt;"Complete"),"▲ Regulation past target",IF(S168&gt;0,"Open comments","")))))</f>
        <v/>
      </c>
      <c r="V168" s="46"/>
      <c r="W168" s="46"/>
      <c r="X168" s="46"/>
    </row>
    <row r="169" customFormat="false" ht="15" hidden="false" customHeight="false" outlineLevel="0" collapsed="false">
      <c r="A169" s="46"/>
      <c r="B169" s="46"/>
      <c r="C169" s="46"/>
      <c r="D169" s="46"/>
      <c r="E169" s="46"/>
      <c r="F169" s="46"/>
      <c r="G169" s="46"/>
      <c r="H169" s="46"/>
      <c r="I169" s="46"/>
      <c r="J169" s="46"/>
      <c r="K169" s="48" t="str">
        <f aca="false">IF(W169="","",HYPERLINK(W169,"Simbli"))</f>
        <v/>
      </c>
      <c r="L169" s="48" t="str">
        <f aca="false">IF(X169="","",HYPERLINK(X169,"Simbli"))</f>
        <v/>
      </c>
      <c r="M169" s="46"/>
      <c r="N169" s="46"/>
      <c r="O169" s="46"/>
      <c r="P169" s="46" t="str">
        <f aca="false">IF(OR(A169="",O169=""),"",O169+RegDays)</f>
        <v/>
      </c>
      <c r="Q169" s="46" t="str">
        <f aca="false">IF(A169="","",IF(SUMPRODUCT(MAX((Versions!$B$2:$B$501=A169)*(Versions!$M$2:$M$501="Yes")*ROW(Versions!$B$2:$B$501)))=0,"",INDEX(Versions!$A$1:$A$501,SUMPRODUCT(MAX((Versions!$B$2:$B$501=A169)*(Versions!$M$2:$M$501="Yes")*ROW(Versions!$B$2:$B$501))))))</f>
        <v/>
      </c>
      <c r="R169" s="46" t="str">
        <f aca="false">IF(A169="","",COUNTIF(Comments!$B$2:$B$2001,A169))</f>
        <v/>
      </c>
      <c r="S169" s="46" t="str">
        <f aca="false">IF(A169="","",COUNTIFS(Comments!$B$2:$B$2001,A169,Comments!$N$2:$N$2001,"Open"))</f>
        <v/>
      </c>
      <c r="T169" s="46" t="str">
        <f aca="false">IF(A169="","",COUNTIFS('Deferred edits'!$C$2:$C$201,A169,'Deferred edits'!$G$2:$G$201,"Waiting"))</f>
        <v/>
      </c>
      <c r="U169" s="46" t="str">
        <f aca="false">IF(A169="","",IF(AND(I169&lt;&gt;"",I169&lt;AsOfDate),"▲ Next date passed",IF(AND(I169&lt;&gt;"",I169&lt;=AsOfDate+7),"● Next date within 7 days",IF(AND(P169&lt;&gt;"",P169&lt;AsOfDate,N169&lt;&gt;"Complete"),"▲ Regulation past target",IF(S169&gt;0,"Open comments","")))))</f>
        <v/>
      </c>
      <c r="V169" s="46"/>
      <c r="W169" s="46"/>
      <c r="X169" s="46"/>
    </row>
    <row r="170" customFormat="false" ht="15" hidden="false" customHeight="false" outlineLevel="0" collapsed="false">
      <c r="A170" s="46"/>
      <c r="B170" s="46"/>
      <c r="C170" s="46"/>
      <c r="D170" s="46"/>
      <c r="E170" s="46"/>
      <c r="F170" s="46"/>
      <c r="G170" s="46"/>
      <c r="H170" s="46"/>
      <c r="I170" s="46"/>
      <c r="J170" s="46"/>
      <c r="K170" s="48" t="str">
        <f aca="false">IF(W170="","",HYPERLINK(W170,"Simbli"))</f>
        <v/>
      </c>
      <c r="L170" s="48" t="str">
        <f aca="false">IF(X170="","",HYPERLINK(X170,"Simbli"))</f>
        <v/>
      </c>
      <c r="M170" s="46"/>
      <c r="N170" s="46"/>
      <c r="O170" s="46"/>
      <c r="P170" s="46" t="str">
        <f aca="false">IF(OR(A170="",O170=""),"",O170+RegDays)</f>
        <v/>
      </c>
      <c r="Q170" s="46" t="str">
        <f aca="false">IF(A170="","",IF(SUMPRODUCT(MAX((Versions!$B$2:$B$501=A170)*(Versions!$M$2:$M$501="Yes")*ROW(Versions!$B$2:$B$501)))=0,"",INDEX(Versions!$A$1:$A$501,SUMPRODUCT(MAX((Versions!$B$2:$B$501=A170)*(Versions!$M$2:$M$501="Yes")*ROW(Versions!$B$2:$B$501))))))</f>
        <v/>
      </c>
      <c r="R170" s="46" t="str">
        <f aca="false">IF(A170="","",COUNTIF(Comments!$B$2:$B$2001,A170))</f>
        <v/>
      </c>
      <c r="S170" s="46" t="str">
        <f aca="false">IF(A170="","",COUNTIFS(Comments!$B$2:$B$2001,A170,Comments!$N$2:$N$2001,"Open"))</f>
        <v/>
      </c>
      <c r="T170" s="46" t="str">
        <f aca="false">IF(A170="","",COUNTIFS('Deferred edits'!$C$2:$C$201,A170,'Deferred edits'!$G$2:$G$201,"Waiting"))</f>
        <v/>
      </c>
      <c r="U170" s="46" t="str">
        <f aca="false">IF(A170="","",IF(AND(I170&lt;&gt;"",I170&lt;AsOfDate),"▲ Next date passed",IF(AND(I170&lt;&gt;"",I170&lt;=AsOfDate+7),"● Next date within 7 days",IF(AND(P170&lt;&gt;"",P170&lt;AsOfDate,N170&lt;&gt;"Complete"),"▲ Regulation past target",IF(S170&gt;0,"Open comments","")))))</f>
        <v/>
      </c>
      <c r="V170" s="46"/>
      <c r="W170" s="46"/>
      <c r="X170" s="46"/>
    </row>
    <row r="171" customFormat="false" ht="15" hidden="false" customHeight="false" outlineLevel="0" collapsed="false">
      <c r="A171" s="46"/>
      <c r="B171" s="46"/>
      <c r="C171" s="46"/>
      <c r="D171" s="46"/>
      <c r="E171" s="46"/>
      <c r="F171" s="46"/>
      <c r="G171" s="46"/>
      <c r="H171" s="46"/>
      <c r="I171" s="46"/>
      <c r="J171" s="46"/>
      <c r="K171" s="48" t="str">
        <f aca="false">IF(W171="","",HYPERLINK(W171,"Simbli"))</f>
        <v/>
      </c>
      <c r="L171" s="48" t="str">
        <f aca="false">IF(X171="","",HYPERLINK(X171,"Simbli"))</f>
        <v/>
      </c>
      <c r="M171" s="46"/>
      <c r="N171" s="46"/>
      <c r="O171" s="46"/>
      <c r="P171" s="46" t="str">
        <f aca="false">IF(OR(A171="",O171=""),"",O171+RegDays)</f>
        <v/>
      </c>
      <c r="Q171" s="46" t="str">
        <f aca="false">IF(A171="","",IF(SUMPRODUCT(MAX((Versions!$B$2:$B$501=A171)*(Versions!$M$2:$M$501="Yes")*ROW(Versions!$B$2:$B$501)))=0,"",INDEX(Versions!$A$1:$A$501,SUMPRODUCT(MAX((Versions!$B$2:$B$501=A171)*(Versions!$M$2:$M$501="Yes")*ROW(Versions!$B$2:$B$501))))))</f>
        <v/>
      </c>
      <c r="R171" s="46" t="str">
        <f aca="false">IF(A171="","",COUNTIF(Comments!$B$2:$B$2001,A171))</f>
        <v/>
      </c>
      <c r="S171" s="46" t="str">
        <f aca="false">IF(A171="","",COUNTIFS(Comments!$B$2:$B$2001,A171,Comments!$N$2:$N$2001,"Open"))</f>
        <v/>
      </c>
      <c r="T171" s="46" t="str">
        <f aca="false">IF(A171="","",COUNTIFS('Deferred edits'!$C$2:$C$201,A171,'Deferred edits'!$G$2:$G$201,"Waiting"))</f>
        <v/>
      </c>
      <c r="U171" s="46" t="str">
        <f aca="false">IF(A171="","",IF(AND(I171&lt;&gt;"",I171&lt;AsOfDate),"▲ Next date passed",IF(AND(I171&lt;&gt;"",I171&lt;=AsOfDate+7),"● Next date within 7 days",IF(AND(P171&lt;&gt;"",P171&lt;AsOfDate,N171&lt;&gt;"Complete"),"▲ Regulation past target",IF(S171&gt;0,"Open comments","")))))</f>
        <v/>
      </c>
      <c r="V171" s="46"/>
      <c r="W171" s="46"/>
      <c r="X171" s="46"/>
    </row>
    <row r="172" customFormat="false" ht="15" hidden="false" customHeight="false" outlineLevel="0" collapsed="false">
      <c r="A172" s="46"/>
      <c r="B172" s="46"/>
      <c r="C172" s="46"/>
      <c r="D172" s="46"/>
      <c r="E172" s="46"/>
      <c r="F172" s="46"/>
      <c r="G172" s="46"/>
      <c r="H172" s="46"/>
      <c r="I172" s="46"/>
      <c r="J172" s="46"/>
      <c r="K172" s="48" t="str">
        <f aca="false">IF(W172="","",HYPERLINK(W172,"Simbli"))</f>
        <v/>
      </c>
      <c r="L172" s="48" t="str">
        <f aca="false">IF(X172="","",HYPERLINK(X172,"Simbli"))</f>
        <v/>
      </c>
      <c r="M172" s="46"/>
      <c r="N172" s="46"/>
      <c r="O172" s="46"/>
      <c r="P172" s="46" t="str">
        <f aca="false">IF(OR(A172="",O172=""),"",O172+RegDays)</f>
        <v/>
      </c>
      <c r="Q172" s="46" t="str">
        <f aca="false">IF(A172="","",IF(SUMPRODUCT(MAX((Versions!$B$2:$B$501=A172)*(Versions!$M$2:$M$501="Yes")*ROW(Versions!$B$2:$B$501)))=0,"",INDEX(Versions!$A$1:$A$501,SUMPRODUCT(MAX((Versions!$B$2:$B$501=A172)*(Versions!$M$2:$M$501="Yes")*ROW(Versions!$B$2:$B$501))))))</f>
        <v/>
      </c>
      <c r="R172" s="46" t="str">
        <f aca="false">IF(A172="","",COUNTIF(Comments!$B$2:$B$2001,A172))</f>
        <v/>
      </c>
      <c r="S172" s="46" t="str">
        <f aca="false">IF(A172="","",COUNTIFS(Comments!$B$2:$B$2001,A172,Comments!$N$2:$N$2001,"Open"))</f>
        <v/>
      </c>
      <c r="T172" s="46" t="str">
        <f aca="false">IF(A172="","",COUNTIFS('Deferred edits'!$C$2:$C$201,A172,'Deferred edits'!$G$2:$G$201,"Waiting"))</f>
        <v/>
      </c>
      <c r="U172" s="46" t="str">
        <f aca="false">IF(A172="","",IF(AND(I172&lt;&gt;"",I172&lt;AsOfDate),"▲ Next date passed",IF(AND(I172&lt;&gt;"",I172&lt;=AsOfDate+7),"● Next date within 7 days",IF(AND(P172&lt;&gt;"",P172&lt;AsOfDate,N172&lt;&gt;"Complete"),"▲ Regulation past target",IF(S172&gt;0,"Open comments","")))))</f>
        <v/>
      </c>
      <c r="V172" s="46"/>
      <c r="W172" s="46"/>
      <c r="X172" s="46"/>
    </row>
    <row r="173" customFormat="false" ht="15" hidden="false" customHeight="false" outlineLevel="0" collapsed="false">
      <c r="A173" s="46"/>
      <c r="B173" s="46"/>
      <c r="C173" s="46"/>
      <c r="D173" s="46"/>
      <c r="E173" s="46"/>
      <c r="F173" s="46"/>
      <c r="G173" s="46"/>
      <c r="H173" s="46"/>
      <c r="I173" s="46"/>
      <c r="J173" s="46"/>
      <c r="K173" s="48" t="str">
        <f aca="false">IF(W173="","",HYPERLINK(W173,"Simbli"))</f>
        <v/>
      </c>
      <c r="L173" s="48" t="str">
        <f aca="false">IF(X173="","",HYPERLINK(X173,"Simbli"))</f>
        <v/>
      </c>
      <c r="M173" s="46"/>
      <c r="N173" s="46"/>
      <c r="O173" s="46"/>
      <c r="P173" s="46" t="str">
        <f aca="false">IF(OR(A173="",O173=""),"",O173+RegDays)</f>
        <v/>
      </c>
      <c r="Q173" s="46" t="str">
        <f aca="false">IF(A173="","",IF(SUMPRODUCT(MAX((Versions!$B$2:$B$501=A173)*(Versions!$M$2:$M$501="Yes")*ROW(Versions!$B$2:$B$501)))=0,"",INDEX(Versions!$A$1:$A$501,SUMPRODUCT(MAX((Versions!$B$2:$B$501=A173)*(Versions!$M$2:$M$501="Yes")*ROW(Versions!$B$2:$B$501))))))</f>
        <v/>
      </c>
      <c r="R173" s="46" t="str">
        <f aca="false">IF(A173="","",COUNTIF(Comments!$B$2:$B$2001,A173))</f>
        <v/>
      </c>
      <c r="S173" s="46" t="str">
        <f aca="false">IF(A173="","",COUNTIFS(Comments!$B$2:$B$2001,A173,Comments!$N$2:$N$2001,"Open"))</f>
        <v/>
      </c>
      <c r="T173" s="46" t="str">
        <f aca="false">IF(A173="","",COUNTIFS('Deferred edits'!$C$2:$C$201,A173,'Deferred edits'!$G$2:$G$201,"Waiting"))</f>
        <v/>
      </c>
      <c r="U173" s="46" t="str">
        <f aca="false">IF(A173="","",IF(AND(I173&lt;&gt;"",I173&lt;AsOfDate),"▲ Next date passed",IF(AND(I173&lt;&gt;"",I173&lt;=AsOfDate+7),"● Next date within 7 days",IF(AND(P173&lt;&gt;"",P173&lt;AsOfDate,N173&lt;&gt;"Complete"),"▲ Regulation past target",IF(S173&gt;0,"Open comments","")))))</f>
        <v/>
      </c>
      <c r="V173" s="46"/>
      <c r="W173" s="46"/>
      <c r="X173" s="46"/>
    </row>
    <row r="174" customFormat="false" ht="15" hidden="false" customHeight="false" outlineLevel="0" collapsed="false">
      <c r="A174" s="46"/>
      <c r="B174" s="46"/>
      <c r="C174" s="46"/>
      <c r="D174" s="46"/>
      <c r="E174" s="46"/>
      <c r="F174" s="46"/>
      <c r="G174" s="46"/>
      <c r="H174" s="46"/>
      <c r="I174" s="46"/>
      <c r="J174" s="46"/>
      <c r="K174" s="48" t="str">
        <f aca="false">IF(W174="","",HYPERLINK(W174,"Simbli"))</f>
        <v/>
      </c>
      <c r="L174" s="48" t="str">
        <f aca="false">IF(X174="","",HYPERLINK(X174,"Simbli"))</f>
        <v/>
      </c>
      <c r="M174" s="46"/>
      <c r="N174" s="46"/>
      <c r="O174" s="46"/>
      <c r="P174" s="46" t="str">
        <f aca="false">IF(OR(A174="",O174=""),"",O174+RegDays)</f>
        <v/>
      </c>
      <c r="Q174" s="46" t="str">
        <f aca="false">IF(A174="","",IF(SUMPRODUCT(MAX((Versions!$B$2:$B$501=A174)*(Versions!$M$2:$M$501="Yes")*ROW(Versions!$B$2:$B$501)))=0,"",INDEX(Versions!$A$1:$A$501,SUMPRODUCT(MAX((Versions!$B$2:$B$501=A174)*(Versions!$M$2:$M$501="Yes")*ROW(Versions!$B$2:$B$501))))))</f>
        <v/>
      </c>
      <c r="R174" s="46" t="str">
        <f aca="false">IF(A174="","",COUNTIF(Comments!$B$2:$B$2001,A174))</f>
        <v/>
      </c>
      <c r="S174" s="46" t="str">
        <f aca="false">IF(A174="","",COUNTIFS(Comments!$B$2:$B$2001,A174,Comments!$N$2:$N$2001,"Open"))</f>
        <v/>
      </c>
      <c r="T174" s="46" t="str">
        <f aca="false">IF(A174="","",COUNTIFS('Deferred edits'!$C$2:$C$201,A174,'Deferred edits'!$G$2:$G$201,"Waiting"))</f>
        <v/>
      </c>
      <c r="U174" s="46" t="str">
        <f aca="false">IF(A174="","",IF(AND(I174&lt;&gt;"",I174&lt;AsOfDate),"▲ Next date passed",IF(AND(I174&lt;&gt;"",I174&lt;=AsOfDate+7),"● Next date within 7 days",IF(AND(P174&lt;&gt;"",P174&lt;AsOfDate,N174&lt;&gt;"Complete"),"▲ Regulation past target",IF(S174&gt;0,"Open comments","")))))</f>
        <v/>
      </c>
      <c r="V174" s="46"/>
      <c r="W174" s="46"/>
      <c r="X174" s="46"/>
    </row>
    <row r="175" customFormat="false" ht="15" hidden="false" customHeight="false" outlineLevel="0" collapsed="false">
      <c r="A175" s="46"/>
      <c r="B175" s="46"/>
      <c r="C175" s="46"/>
      <c r="D175" s="46"/>
      <c r="E175" s="46"/>
      <c r="F175" s="46"/>
      <c r="G175" s="46"/>
      <c r="H175" s="46"/>
      <c r="I175" s="46"/>
      <c r="J175" s="46"/>
      <c r="K175" s="48" t="str">
        <f aca="false">IF(W175="","",HYPERLINK(W175,"Simbli"))</f>
        <v/>
      </c>
      <c r="L175" s="48" t="str">
        <f aca="false">IF(X175="","",HYPERLINK(X175,"Simbli"))</f>
        <v/>
      </c>
      <c r="M175" s="46"/>
      <c r="N175" s="46"/>
      <c r="O175" s="46"/>
      <c r="P175" s="46" t="str">
        <f aca="false">IF(OR(A175="",O175=""),"",O175+RegDays)</f>
        <v/>
      </c>
      <c r="Q175" s="46" t="str">
        <f aca="false">IF(A175="","",IF(SUMPRODUCT(MAX((Versions!$B$2:$B$501=A175)*(Versions!$M$2:$M$501="Yes")*ROW(Versions!$B$2:$B$501)))=0,"",INDEX(Versions!$A$1:$A$501,SUMPRODUCT(MAX((Versions!$B$2:$B$501=A175)*(Versions!$M$2:$M$501="Yes")*ROW(Versions!$B$2:$B$501))))))</f>
        <v/>
      </c>
      <c r="R175" s="46" t="str">
        <f aca="false">IF(A175="","",COUNTIF(Comments!$B$2:$B$2001,A175))</f>
        <v/>
      </c>
      <c r="S175" s="46" t="str">
        <f aca="false">IF(A175="","",COUNTIFS(Comments!$B$2:$B$2001,A175,Comments!$N$2:$N$2001,"Open"))</f>
        <v/>
      </c>
      <c r="T175" s="46" t="str">
        <f aca="false">IF(A175="","",COUNTIFS('Deferred edits'!$C$2:$C$201,A175,'Deferred edits'!$G$2:$G$201,"Waiting"))</f>
        <v/>
      </c>
      <c r="U175" s="46" t="str">
        <f aca="false">IF(A175="","",IF(AND(I175&lt;&gt;"",I175&lt;AsOfDate),"▲ Next date passed",IF(AND(I175&lt;&gt;"",I175&lt;=AsOfDate+7),"● Next date within 7 days",IF(AND(P175&lt;&gt;"",P175&lt;AsOfDate,N175&lt;&gt;"Complete"),"▲ Regulation past target",IF(S175&gt;0,"Open comments","")))))</f>
        <v/>
      </c>
      <c r="V175" s="46"/>
      <c r="W175" s="46"/>
      <c r="X175" s="46"/>
    </row>
    <row r="176" customFormat="false" ht="15" hidden="false" customHeight="false" outlineLevel="0" collapsed="false">
      <c r="A176" s="46"/>
      <c r="B176" s="46"/>
      <c r="C176" s="46"/>
      <c r="D176" s="46"/>
      <c r="E176" s="46"/>
      <c r="F176" s="46"/>
      <c r="G176" s="46"/>
      <c r="H176" s="46"/>
      <c r="I176" s="46"/>
      <c r="J176" s="46"/>
      <c r="K176" s="48" t="str">
        <f aca="false">IF(W176="","",HYPERLINK(W176,"Simbli"))</f>
        <v/>
      </c>
      <c r="L176" s="48" t="str">
        <f aca="false">IF(X176="","",HYPERLINK(X176,"Simbli"))</f>
        <v/>
      </c>
      <c r="M176" s="46"/>
      <c r="N176" s="46"/>
      <c r="O176" s="46"/>
      <c r="P176" s="46" t="str">
        <f aca="false">IF(OR(A176="",O176=""),"",O176+RegDays)</f>
        <v/>
      </c>
      <c r="Q176" s="46" t="str">
        <f aca="false">IF(A176="","",IF(SUMPRODUCT(MAX((Versions!$B$2:$B$501=A176)*(Versions!$M$2:$M$501="Yes")*ROW(Versions!$B$2:$B$501)))=0,"",INDEX(Versions!$A$1:$A$501,SUMPRODUCT(MAX((Versions!$B$2:$B$501=A176)*(Versions!$M$2:$M$501="Yes")*ROW(Versions!$B$2:$B$501))))))</f>
        <v/>
      </c>
      <c r="R176" s="46" t="str">
        <f aca="false">IF(A176="","",COUNTIF(Comments!$B$2:$B$2001,A176))</f>
        <v/>
      </c>
      <c r="S176" s="46" t="str">
        <f aca="false">IF(A176="","",COUNTIFS(Comments!$B$2:$B$2001,A176,Comments!$N$2:$N$2001,"Open"))</f>
        <v/>
      </c>
      <c r="T176" s="46" t="str">
        <f aca="false">IF(A176="","",COUNTIFS('Deferred edits'!$C$2:$C$201,A176,'Deferred edits'!$G$2:$G$201,"Waiting"))</f>
        <v/>
      </c>
      <c r="U176" s="46" t="str">
        <f aca="false">IF(A176="","",IF(AND(I176&lt;&gt;"",I176&lt;AsOfDate),"▲ Next date passed",IF(AND(I176&lt;&gt;"",I176&lt;=AsOfDate+7),"● Next date within 7 days",IF(AND(P176&lt;&gt;"",P176&lt;AsOfDate,N176&lt;&gt;"Complete"),"▲ Regulation past target",IF(S176&gt;0,"Open comments","")))))</f>
        <v/>
      </c>
      <c r="V176" s="46"/>
      <c r="W176" s="46"/>
      <c r="X176" s="46"/>
    </row>
    <row r="177" customFormat="false" ht="15" hidden="false" customHeight="false" outlineLevel="0" collapsed="false">
      <c r="A177" s="46"/>
      <c r="B177" s="46"/>
      <c r="C177" s="46"/>
      <c r="D177" s="46"/>
      <c r="E177" s="46"/>
      <c r="F177" s="46"/>
      <c r="G177" s="46"/>
      <c r="H177" s="46"/>
      <c r="I177" s="46"/>
      <c r="J177" s="46"/>
      <c r="K177" s="48" t="str">
        <f aca="false">IF(W177="","",HYPERLINK(W177,"Simbli"))</f>
        <v/>
      </c>
      <c r="L177" s="48" t="str">
        <f aca="false">IF(X177="","",HYPERLINK(X177,"Simbli"))</f>
        <v/>
      </c>
      <c r="M177" s="46"/>
      <c r="N177" s="46"/>
      <c r="O177" s="46"/>
      <c r="P177" s="46" t="str">
        <f aca="false">IF(OR(A177="",O177=""),"",O177+RegDays)</f>
        <v/>
      </c>
      <c r="Q177" s="46" t="str">
        <f aca="false">IF(A177="","",IF(SUMPRODUCT(MAX((Versions!$B$2:$B$501=A177)*(Versions!$M$2:$M$501="Yes")*ROW(Versions!$B$2:$B$501)))=0,"",INDEX(Versions!$A$1:$A$501,SUMPRODUCT(MAX((Versions!$B$2:$B$501=A177)*(Versions!$M$2:$M$501="Yes")*ROW(Versions!$B$2:$B$501))))))</f>
        <v/>
      </c>
      <c r="R177" s="46" t="str">
        <f aca="false">IF(A177="","",COUNTIF(Comments!$B$2:$B$2001,A177))</f>
        <v/>
      </c>
      <c r="S177" s="46" t="str">
        <f aca="false">IF(A177="","",COUNTIFS(Comments!$B$2:$B$2001,A177,Comments!$N$2:$N$2001,"Open"))</f>
        <v/>
      </c>
      <c r="T177" s="46" t="str">
        <f aca="false">IF(A177="","",COUNTIFS('Deferred edits'!$C$2:$C$201,A177,'Deferred edits'!$G$2:$G$201,"Waiting"))</f>
        <v/>
      </c>
      <c r="U177" s="46" t="str">
        <f aca="false">IF(A177="","",IF(AND(I177&lt;&gt;"",I177&lt;AsOfDate),"▲ Next date passed",IF(AND(I177&lt;&gt;"",I177&lt;=AsOfDate+7),"● Next date within 7 days",IF(AND(P177&lt;&gt;"",P177&lt;AsOfDate,N177&lt;&gt;"Complete"),"▲ Regulation past target",IF(S177&gt;0,"Open comments","")))))</f>
        <v/>
      </c>
      <c r="V177" s="46"/>
      <c r="W177" s="46"/>
      <c r="X177" s="46"/>
    </row>
    <row r="178" customFormat="false" ht="15" hidden="false" customHeight="false" outlineLevel="0" collapsed="false">
      <c r="A178" s="46"/>
      <c r="B178" s="46"/>
      <c r="C178" s="46"/>
      <c r="D178" s="46"/>
      <c r="E178" s="46"/>
      <c r="F178" s="46"/>
      <c r="G178" s="46"/>
      <c r="H178" s="46"/>
      <c r="I178" s="46"/>
      <c r="J178" s="46"/>
      <c r="K178" s="48" t="str">
        <f aca="false">IF(W178="","",HYPERLINK(W178,"Simbli"))</f>
        <v/>
      </c>
      <c r="L178" s="48" t="str">
        <f aca="false">IF(X178="","",HYPERLINK(X178,"Simbli"))</f>
        <v/>
      </c>
      <c r="M178" s="46"/>
      <c r="N178" s="46"/>
      <c r="O178" s="46"/>
      <c r="P178" s="46" t="str">
        <f aca="false">IF(OR(A178="",O178=""),"",O178+RegDays)</f>
        <v/>
      </c>
      <c r="Q178" s="46" t="str">
        <f aca="false">IF(A178="","",IF(SUMPRODUCT(MAX((Versions!$B$2:$B$501=A178)*(Versions!$M$2:$M$501="Yes")*ROW(Versions!$B$2:$B$501)))=0,"",INDEX(Versions!$A$1:$A$501,SUMPRODUCT(MAX((Versions!$B$2:$B$501=A178)*(Versions!$M$2:$M$501="Yes")*ROW(Versions!$B$2:$B$501))))))</f>
        <v/>
      </c>
      <c r="R178" s="46" t="str">
        <f aca="false">IF(A178="","",COUNTIF(Comments!$B$2:$B$2001,A178))</f>
        <v/>
      </c>
      <c r="S178" s="46" t="str">
        <f aca="false">IF(A178="","",COUNTIFS(Comments!$B$2:$B$2001,A178,Comments!$N$2:$N$2001,"Open"))</f>
        <v/>
      </c>
      <c r="T178" s="46" t="str">
        <f aca="false">IF(A178="","",COUNTIFS('Deferred edits'!$C$2:$C$201,A178,'Deferred edits'!$G$2:$G$201,"Waiting"))</f>
        <v/>
      </c>
      <c r="U178" s="46" t="str">
        <f aca="false">IF(A178="","",IF(AND(I178&lt;&gt;"",I178&lt;AsOfDate),"▲ Next date passed",IF(AND(I178&lt;&gt;"",I178&lt;=AsOfDate+7),"● Next date within 7 days",IF(AND(P178&lt;&gt;"",P178&lt;AsOfDate,N178&lt;&gt;"Complete"),"▲ Regulation past target",IF(S178&gt;0,"Open comments","")))))</f>
        <v/>
      </c>
      <c r="V178" s="46"/>
      <c r="W178" s="46"/>
      <c r="X178" s="46"/>
    </row>
    <row r="179" customFormat="false" ht="15" hidden="false" customHeight="false" outlineLevel="0" collapsed="false">
      <c r="A179" s="46"/>
      <c r="B179" s="46"/>
      <c r="C179" s="46"/>
      <c r="D179" s="46"/>
      <c r="E179" s="46"/>
      <c r="F179" s="46"/>
      <c r="G179" s="46"/>
      <c r="H179" s="46"/>
      <c r="I179" s="46"/>
      <c r="J179" s="46"/>
      <c r="K179" s="48" t="str">
        <f aca="false">IF(W179="","",HYPERLINK(W179,"Simbli"))</f>
        <v/>
      </c>
      <c r="L179" s="48" t="str">
        <f aca="false">IF(X179="","",HYPERLINK(X179,"Simbli"))</f>
        <v/>
      </c>
      <c r="M179" s="46"/>
      <c r="N179" s="46"/>
      <c r="O179" s="46"/>
      <c r="P179" s="46" t="str">
        <f aca="false">IF(OR(A179="",O179=""),"",O179+RegDays)</f>
        <v/>
      </c>
      <c r="Q179" s="46" t="str">
        <f aca="false">IF(A179="","",IF(SUMPRODUCT(MAX((Versions!$B$2:$B$501=A179)*(Versions!$M$2:$M$501="Yes")*ROW(Versions!$B$2:$B$501)))=0,"",INDEX(Versions!$A$1:$A$501,SUMPRODUCT(MAX((Versions!$B$2:$B$501=A179)*(Versions!$M$2:$M$501="Yes")*ROW(Versions!$B$2:$B$501))))))</f>
        <v/>
      </c>
      <c r="R179" s="46" t="str">
        <f aca="false">IF(A179="","",COUNTIF(Comments!$B$2:$B$2001,A179))</f>
        <v/>
      </c>
      <c r="S179" s="46" t="str">
        <f aca="false">IF(A179="","",COUNTIFS(Comments!$B$2:$B$2001,A179,Comments!$N$2:$N$2001,"Open"))</f>
        <v/>
      </c>
      <c r="T179" s="46" t="str">
        <f aca="false">IF(A179="","",COUNTIFS('Deferred edits'!$C$2:$C$201,A179,'Deferred edits'!$G$2:$G$201,"Waiting"))</f>
        <v/>
      </c>
      <c r="U179" s="46" t="str">
        <f aca="false">IF(A179="","",IF(AND(I179&lt;&gt;"",I179&lt;AsOfDate),"▲ Next date passed",IF(AND(I179&lt;&gt;"",I179&lt;=AsOfDate+7),"● Next date within 7 days",IF(AND(P179&lt;&gt;"",P179&lt;AsOfDate,N179&lt;&gt;"Complete"),"▲ Regulation past target",IF(S179&gt;0,"Open comments","")))))</f>
        <v/>
      </c>
      <c r="V179" s="46"/>
      <c r="W179" s="46"/>
      <c r="X179" s="46"/>
    </row>
    <row r="180" customFormat="false" ht="15" hidden="false" customHeight="false" outlineLevel="0" collapsed="false">
      <c r="A180" s="46"/>
      <c r="B180" s="46"/>
      <c r="C180" s="46"/>
      <c r="D180" s="46"/>
      <c r="E180" s="46"/>
      <c r="F180" s="46"/>
      <c r="G180" s="46"/>
      <c r="H180" s="46"/>
      <c r="I180" s="46"/>
      <c r="J180" s="46"/>
      <c r="K180" s="48" t="str">
        <f aca="false">IF(W180="","",HYPERLINK(W180,"Simbli"))</f>
        <v/>
      </c>
      <c r="L180" s="48" t="str">
        <f aca="false">IF(X180="","",HYPERLINK(X180,"Simbli"))</f>
        <v/>
      </c>
      <c r="M180" s="46"/>
      <c r="N180" s="46"/>
      <c r="O180" s="46"/>
      <c r="P180" s="46" t="str">
        <f aca="false">IF(OR(A180="",O180=""),"",O180+RegDays)</f>
        <v/>
      </c>
      <c r="Q180" s="46" t="str">
        <f aca="false">IF(A180="","",IF(SUMPRODUCT(MAX((Versions!$B$2:$B$501=A180)*(Versions!$M$2:$M$501="Yes")*ROW(Versions!$B$2:$B$501)))=0,"",INDEX(Versions!$A$1:$A$501,SUMPRODUCT(MAX((Versions!$B$2:$B$501=A180)*(Versions!$M$2:$M$501="Yes")*ROW(Versions!$B$2:$B$501))))))</f>
        <v/>
      </c>
      <c r="R180" s="46" t="str">
        <f aca="false">IF(A180="","",COUNTIF(Comments!$B$2:$B$2001,A180))</f>
        <v/>
      </c>
      <c r="S180" s="46" t="str">
        <f aca="false">IF(A180="","",COUNTIFS(Comments!$B$2:$B$2001,A180,Comments!$N$2:$N$2001,"Open"))</f>
        <v/>
      </c>
      <c r="T180" s="46" t="str">
        <f aca="false">IF(A180="","",COUNTIFS('Deferred edits'!$C$2:$C$201,A180,'Deferred edits'!$G$2:$G$201,"Waiting"))</f>
        <v/>
      </c>
      <c r="U180" s="46" t="str">
        <f aca="false">IF(A180="","",IF(AND(I180&lt;&gt;"",I180&lt;AsOfDate),"▲ Next date passed",IF(AND(I180&lt;&gt;"",I180&lt;=AsOfDate+7),"● Next date within 7 days",IF(AND(P180&lt;&gt;"",P180&lt;AsOfDate,N180&lt;&gt;"Complete"),"▲ Regulation past target",IF(S180&gt;0,"Open comments","")))))</f>
        <v/>
      </c>
      <c r="V180" s="46"/>
      <c r="W180" s="46"/>
      <c r="X180" s="46"/>
    </row>
    <row r="181" customFormat="false" ht="15" hidden="false" customHeight="false" outlineLevel="0" collapsed="false">
      <c r="A181" s="46"/>
      <c r="B181" s="46"/>
      <c r="C181" s="46"/>
      <c r="D181" s="46"/>
      <c r="E181" s="46"/>
      <c r="F181" s="46"/>
      <c r="G181" s="46"/>
      <c r="H181" s="46"/>
      <c r="I181" s="46"/>
      <c r="J181" s="46"/>
      <c r="K181" s="48" t="str">
        <f aca="false">IF(W181="","",HYPERLINK(W181,"Simbli"))</f>
        <v/>
      </c>
      <c r="L181" s="48" t="str">
        <f aca="false">IF(X181="","",HYPERLINK(X181,"Simbli"))</f>
        <v/>
      </c>
      <c r="M181" s="46"/>
      <c r="N181" s="46"/>
      <c r="O181" s="46"/>
      <c r="P181" s="46" t="str">
        <f aca="false">IF(OR(A181="",O181=""),"",O181+RegDays)</f>
        <v/>
      </c>
      <c r="Q181" s="46" t="str">
        <f aca="false">IF(A181="","",IF(SUMPRODUCT(MAX((Versions!$B$2:$B$501=A181)*(Versions!$M$2:$M$501="Yes")*ROW(Versions!$B$2:$B$501)))=0,"",INDEX(Versions!$A$1:$A$501,SUMPRODUCT(MAX((Versions!$B$2:$B$501=A181)*(Versions!$M$2:$M$501="Yes")*ROW(Versions!$B$2:$B$501))))))</f>
        <v/>
      </c>
      <c r="R181" s="46" t="str">
        <f aca="false">IF(A181="","",COUNTIF(Comments!$B$2:$B$2001,A181))</f>
        <v/>
      </c>
      <c r="S181" s="46" t="str">
        <f aca="false">IF(A181="","",COUNTIFS(Comments!$B$2:$B$2001,A181,Comments!$N$2:$N$2001,"Open"))</f>
        <v/>
      </c>
      <c r="T181" s="46" t="str">
        <f aca="false">IF(A181="","",COUNTIFS('Deferred edits'!$C$2:$C$201,A181,'Deferred edits'!$G$2:$G$201,"Waiting"))</f>
        <v/>
      </c>
      <c r="U181" s="46" t="str">
        <f aca="false">IF(A181="","",IF(AND(I181&lt;&gt;"",I181&lt;AsOfDate),"▲ Next date passed",IF(AND(I181&lt;&gt;"",I181&lt;=AsOfDate+7),"● Next date within 7 days",IF(AND(P181&lt;&gt;"",P181&lt;AsOfDate,N181&lt;&gt;"Complete"),"▲ Regulation past target",IF(S181&gt;0,"Open comments","")))))</f>
        <v/>
      </c>
      <c r="V181" s="46"/>
      <c r="W181" s="46"/>
      <c r="X181" s="46"/>
    </row>
    <row r="182" customFormat="false" ht="15" hidden="false" customHeight="false" outlineLevel="0" collapsed="false">
      <c r="A182" s="46"/>
      <c r="B182" s="46"/>
      <c r="C182" s="46"/>
      <c r="D182" s="46"/>
      <c r="E182" s="46"/>
      <c r="F182" s="46"/>
      <c r="G182" s="46"/>
      <c r="H182" s="46"/>
      <c r="I182" s="46"/>
      <c r="J182" s="46"/>
      <c r="K182" s="48" t="str">
        <f aca="false">IF(W182="","",HYPERLINK(W182,"Simbli"))</f>
        <v/>
      </c>
      <c r="L182" s="48" t="str">
        <f aca="false">IF(X182="","",HYPERLINK(X182,"Simbli"))</f>
        <v/>
      </c>
      <c r="M182" s="46"/>
      <c r="N182" s="46"/>
      <c r="O182" s="46"/>
      <c r="P182" s="46" t="str">
        <f aca="false">IF(OR(A182="",O182=""),"",O182+RegDays)</f>
        <v/>
      </c>
      <c r="Q182" s="46" t="str">
        <f aca="false">IF(A182="","",IF(SUMPRODUCT(MAX((Versions!$B$2:$B$501=A182)*(Versions!$M$2:$M$501="Yes")*ROW(Versions!$B$2:$B$501)))=0,"",INDEX(Versions!$A$1:$A$501,SUMPRODUCT(MAX((Versions!$B$2:$B$501=A182)*(Versions!$M$2:$M$501="Yes")*ROW(Versions!$B$2:$B$501))))))</f>
        <v/>
      </c>
      <c r="R182" s="46" t="str">
        <f aca="false">IF(A182="","",COUNTIF(Comments!$B$2:$B$2001,A182))</f>
        <v/>
      </c>
      <c r="S182" s="46" t="str">
        <f aca="false">IF(A182="","",COUNTIFS(Comments!$B$2:$B$2001,A182,Comments!$N$2:$N$2001,"Open"))</f>
        <v/>
      </c>
      <c r="T182" s="46" t="str">
        <f aca="false">IF(A182="","",COUNTIFS('Deferred edits'!$C$2:$C$201,A182,'Deferred edits'!$G$2:$G$201,"Waiting"))</f>
        <v/>
      </c>
      <c r="U182" s="46" t="str">
        <f aca="false">IF(A182="","",IF(AND(I182&lt;&gt;"",I182&lt;AsOfDate),"▲ Next date passed",IF(AND(I182&lt;&gt;"",I182&lt;=AsOfDate+7),"● Next date within 7 days",IF(AND(P182&lt;&gt;"",P182&lt;AsOfDate,N182&lt;&gt;"Complete"),"▲ Regulation past target",IF(S182&gt;0,"Open comments","")))))</f>
        <v/>
      </c>
      <c r="V182" s="46"/>
      <c r="W182" s="46"/>
      <c r="X182" s="46"/>
    </row>
    <row r="183" customFormat="false" ht="15" hidden="false" customHeight="false" outlineLevel="0" collapsed="false">
      <c r="A183" s="46"/>
      <c r="B183" s="46"/>
      <c r="C183" s="46"/>
      <c r="D183" s="46"/>
      <c r="E183" s="46"/>
      <c r="F183" s="46"/>
      <c r="G183" s="46"/>
      <c r="H183" s="46"/>
      <c r="I183" s="46"/>
      <c r="J183" s="46"/>
      <c r="K183" s="48" t="str">
        <f aca="false">IF(W183="","",HYPERLINK(W183,"Simbli"))</f>
        <v/>
      </c>
      <c r="L183" s="48" t="str">
        <f aca="false">IF(X183="","",HYPERLINK(X183,"Simbli"))</f>
        <v/>
      </c>
      <c r="M183" s="46"/>
      <c r="N183" s="46"/>
      <c r="O183" s="46"/>
      <c r="P183" s="46" t="str">
        <f aca="false">IF(OR(A183="",O183=""),"",O183+RegDays)</f>
        <v/>
      </c>
      <c r="Q183" s="46" t="str">
        <f aca="false">IF(A183="","",IF(SUMPRODUCT(MAX((Versions!$B$2:$B$501=A183)*(Versions!$M$2:$M$501="Yes")*ROW(Versions!$B$2:$B$501)))=0,"",INDEX(Versions!$A$1:$A$501,SUMPRODUCT(MAX((Versions!$B$2:$B$501=A183)*(Versions!$M$2:$M$501="Yes")*ROW(Versions!$B$2:$B$501))))))</f>
        <v/>
      </c>
      <c r="R183" s="46" t="str">
        <f aca="false">IF(A183="","",COUNTIF(Comments!$B$2:$B$2001,A183))</f>
        <v/>
      </c>
      <c r="S183" s="46" t="str">
        <f aca="false">IF(A183="","",COUNTIFS(Comments!$B$2:$B$2001,A183,Comments!$N$2:$N$2001,"Open"))</f>
        <v/>
      </c>
      <c r="T183" s="46" t="str">
        <f aca="false">IF(A183="","",COUNTIFS('Deferred edits'!$C$2:$C$201,A183,'Deferred edits'!$G$2:$G$201,"Waiting"))</f>
        <v/>
      </c>
      <c r="U183" s="46" t="str">
        <f aca="false">IF(A183="","",IF(AND(I183&lt;&gt;"",I183&lt;AsOfDate),"▲ Next date passed",IF(AND(I183&lt;&gt;"",I183&lt;=AsOfDate+7),"● Next date within 7 days",IF(AND(P183&lt;&gt;"",P183&lt;AsOfDate,N183&lt;&gt;"Complete"),"▲ Regulation past target",IF(S183&gt;0,"Open comments","")))))</f>
        <v/>
      </c>
      <c r="V183" s="46"/>
      <c r="W183" s="46"/>
      <c r="X183" s="46"/>
    </row>
    <row r="184" customFormat="false" ht="15" hidden="false" customHeight="false" outlineLevel="0" collapsed="false">
      <c r="A184" s="46"/>
      <c r="B184" s="46"/>
      <c r="C184" s="46"/>
      <c r="D184" s="46"/>
      <c r="E184" s="46"/>
      <c r="F184" s="46"/>
      <c r="G184" s="46"/>
      <c r="H184" s="46"/>
      <c r="I184" s="46"/>
      <c r="J184" s="46"/>
      <c r="K184" s="48" t="str">
        <f aca="false">IF(W184="","",HYPERLINK(W184,"Simbli"))</f>
        <v/>
      </c>
      <c r="L184" s="48" t="str">
        <f aca="false">IF(X184="","",HYPERLINK(X184,"Simbli"))</f>
        <v/>
      </c>
      <c r="M184" s="46"/>
      <c r="N184" s="46"/>
      <c r="O184" s="46"/>
      <c r="P184" s="46" t="str">
        <f aca="false">IF(OR(A184="",O184=""),"",O184+RegDays)</f>
        <v/>
      </c>
      <c r="Q184" s="46" t="str">
        <f aca="false">IF(A184="","",IF(SUMPRODUCT(MAX((Versions!$B$2:$B$501=A184)*(Versions!$M$2:$M$501="Yes")*ROW(Versions!$B$2:$B$501)))=0,"",INDEX(Versions!$A$1:$A$501,SUMPRODUCT(MAX((Versions!$B$2:$B$501=A184)*(Versions!$M$2:$M$501="Yes")*ROW(Versions!$B$2:$B$501))))))</f>
        <v/>
      </c>
      <c r="R184" s="46" t="str">
        <f aca="false">IF(A184="","",COUNTIF(Comments!$B$2:$B$2001,A184))</f>
        <v/>
      </c>
      <c r="S184" s="46" t="str">
        <f aca="false">IF(A184="","",COUNTIFS(Comments!$B$2:$B$2001,A184,Comments!$N$2:$N$2001,"Open"))</f>
        <v/>
      </c>
      <c r="T184" s="46" t="str">
        <f aca="false">IF(A184="","",COUNTIFS('Deferred edits'!$C$2:$C$201,A184,'Deferred edits'!$G$2:$G$201,"Waiting"))</f>
        <v/>
      </c>
      <c r="U184" s="46" t="str">
        <f aca="false">IF(A184="","",IF(AND(I184&lt;&gt;"",I184&lt;AsOfDate),"▲ Next date passed",IF(AND(I184&lt;&gt;"",I184&lt;=AsOfDate+7),"● Next date within 7 days",IF(AND(P184&lt;&gt;"",P184&lt;AsOfDate,N184&lt;&gt;"Complete"),"▲ Regulation past target",IF(S184&gt;0,"Open comments","")))))</f>
        <v/>
      </c>
      <c r="V184" s="46"/>
      <c r="W184" s="46"/>
      <c r="X184" s="46"/>
    </row>
    <row r="185" customFormat="false" ht="15" hidden="false" customHeight="false" outlineLevel="0" collapsed="false">
      <c r="A185" s="46"/>
      <c r="B185" s="46"/>
      <c r="C185" s="46"/>
      <c r="D185" s="46"/>
      <c r="E185" s="46"/>
      <c r="F185" s="46"/>
      <c r="G185" s="46"/>
      <c r="H185" s="46"/>
      <c r="I185" s="46"/>
      <c r="J185" s="46"/>
      <c r="K185" s="48" t="str">
        <f aca="false">IF(W185="","",HYPERLINK(W185,"Simbli"))</f>
        <v/>
      </c>
      <c r="L185" s="48" t="str">
        <f aca="false">IF(X185="","",HYPERLINK(X185,"Simbli"))</f>
        <v/>
      </c>
      <c r="M185" s="46"/>
      <c r="N185" s="46"/>
      <c r="O185" s="46"/>
      <c r="P185" s="46" t="str">
        <f aca="false">IF(OR(A185="",O185=""),"",O185+RegDays)</f>
        <v/>
      </c>
      <c r="Q185" s="46" t="str">
        <f aca="false">IF(A185="","",IF(SUMPRODUCT(MAX((Versions!$B$2:$B$501=A185)*(Versions!$M$2:$M$501="Yes")*ROW(Versions!$B$2:$B$501)))=0,"",INDEX(Versions!$A$1:$A$501,SUMPRODUCT(MAX((Versions!$B$2:$B$501=A185)*(Versions!$M$2:$M$501="Yes")*ROW(Versions!$B$2:$B$501))))))</f>
        <v/>
      </c>
      <c r="R185" s="46" t="str">
        <f aca="false">IF(A185="","",COUNTIF(Comments!$B$2:$B$2001,A185))</f>
        <v/>
      </c>
      <c r="S185" s="46" t="str">
        <f aca="false">IF(A185="","",COUNTIFS(Comments!$B$2:$B$2001,A185,Comments!$N$2:$N$2001,"Open"))</f>
        <v/>
      </c>
      <c r="T185" s="46" t="str">
        <f aca="false">IF(A185="","",COUNTIFS('Deferred edits'!$C$2:$C$201,A185,'Deferred edits'!$G$2:$G$201,"Waiting"))</f>
        <v/>
      </c>
      <c r="U185" s="46" t="str">
        <f aca="false">IF(A185="","",IF(AND(I185&lt;&gt;"",I185&lt;AsOfDate),"▲ Next date passed",IF(AND(I185&lt;&gt;"",I185&lt;=AsOfDate+7),"● Next date within 7 days",IF(AND(P185&lt;&gt;"",P185&lt;AsOfDate,N185&lt;&gt;"Complete"),"▲ Regulation past target",IF(S185&gt;0,"Open comments","")))))</f>
        <v/>
      </c>
      <c r="V185" s="46"/>
      <c r="W185" s="46"/>
      <c r="X185" s="46"/>
    </row>
    <row r="186" customFormat="false" ht="15" hidden="false" customHeight="false" outlineLevel="0" collapsed="false">
      <c r="A186" s="46"/>
      <c r="B186" s="46"/>
      <c r="C186" s="46"/>
      <c r="D186" s="46"/>
      <c r="E186" s="46"/>
      <c r="F186" s="46"/>
      <c r="G186" s="46"/>
      <c r="H186" s="46"/>
      <c r="I186" s="46"/>
      <c r="J186" s="46"/>
      <c r="K186" s="48" t="str">
        <f aca="false">IF(W186="","",HYPERLINK(W186,"Simbli"))</f>
        <v/>
      </c>
      <c r="L186" s="48" t="str">
        <f aca="false">IF(X186="","",HYPERLINK(X186,"Simbli"))</f>
        <v/>
      </c>
      <c r="M186" s="46"/>
      <c r="N186" s="46"/>
      <c r="O186" s="46"/>
      <c r="P186" s="46" t="str">
        <f aca="false">IF(OR(A186="",O186=""),"",O186+RegDays)</f>
        <v/>
      </c>
      <c r="Q186" s="46" t="str">
        <f aca="false">IF(A186="","",IF(SUMPRODUCT(MAX((Versions!$B$2:$B$501=A186)*(Versions!$M$2:$M$501="Yes")*ROW(Versions!$B$2:$B$501)))=0,"",INDEX(Versions!$A$1:$A$501,SUMPRODUCT(MAX((Versions!$B$2:$B$501=A186)*(Versions!$M$2:$M$501="Yes")*ROW(Versions!$B$2:$B$501))))))</f>
        <v/>
      </c>
      <c r="R186" s="46" t="str">
        <f aca="false">IF(A186="","",COUNTIF(Comments!$B$2:$B$2001,A186))</f>
        <v/>
      </c>
      <c r="S186" s="46" t="str">
        <f aca="false">IF(A186="","",COUNTIFS(Comments!$B$2:$B$2001,A186,Comments!$N$2:$N$2001,"Open"))</f>
        <v/>
      </c>
      <c r="T186" s="46" t="str">
        <f aca="false">IF(A186="","",COUNTIFS('Deferred edits'!$C$2:$C$201,A186,'Deferred edits'!$G$2:$G$201,"Waiting"))</f>
        <v/>
      </c>
      <c r="U186" s="46" t="str">
        <f aca="false">IF(A186="","",IF(AND(I186&lt;&gt;"",I186&lt;AsOfDate),"▲ Next date passed",IF(AND(I186&lt;&gt;"",I186&lt;=AsOfDate+7),"● Next date within 7 days",IF(AND(P186&lt;&gt;"",P186&lt;AsOfDate,N186&lt;&gt;"Complete"),"▲ Regulation past target",IF(S186&gt;0,"Open comments","")))))</f>
        <v/>
      </c>
      <c r="V186" s="46"/>
      <c r="W186" s="46"/>
      <c r="X186" s="46"/>
    </row>
    <row r="187" customFormat="false" ht="15" hidden="false" customHeight="false" outlineLevel="0" collapsed="false">
      <c r="A187" s="46"/>
      <c r="B187" s="46"/>
      <c r="C187" s="46"/>
      <c r="D187" s="46"/>
      <c r="E187" s="46"/>
      <c r="F187" s="46"/>
      <c r="G187" s="46"/>
      <c r="H187" s="46"/>
      <c r="I187" s="46"/>
      <c r="J187" s="46"/>
      <c r="K187" s="48" t="str">
        <f aca="false">IF(W187="","",HYPERLINK(W187,"Simbli"))</f>
        <v/>
      </c>
      <c r="L187" s="48" t="str">
        <f aca="false">IF(X187="","",HYPERLINK(X187,"Simbli"))</f>
        <v/>
      </c>
      <c r="M187" s="46"/>
      <c r="N187" s="46"/>
      <c r="O187" s="46"/>
      <c r="P187" s="46" t="str">
        <f aca="false">IF(OR(A187="",O187=""),"",O187+RegDays)</f>
        <v/>
      </c>
      <c r="Q187" s="46" t="str">
        <f aca="false">IF(A187="","",IF(SUMPRODUCT(MAX((Versions!$B$2:$B$501=A187)*(Versions!$M$2:$M$501="Yes")*ROW(Versions!$B$2:$B$501)))=0,"",INDEX(Versions!$A$1:$A$501,SUMPRODUCT(MAX((Versions!$B$2:$B$501=A187)*(Versions!$M$2:$M$501="Yes")*ROW(Versions!$B$2:$B$501))))))</f>
        <v/>
      </c>
      <c r="R187" s="46" t="str">
        <f aca="false">IF(A187="","",COUNTIF(Comments!$B$2:$B$2001,A187))</f>
        <v/>
      </c>
      <c r="S187" s="46" t="str">
        <f aca="false">IF(A187="","",COUNTIFS(Comments!$B$2:$B$2001,A187,Comments!$N$2:$N$2001,"Open"))</f>
        <v/>
      </c>
      <c r="T187" s="46" t="str">
        <f aca="false">IF(A187="","",COUNTIFS('Deferred edits'!$C$2:$C$201,A187,'Deferred edits'!$G$2:$G$201,"Waiting"))</f>
        <v/>
      </c>
      <c r="U187" s="46" t="str">
        <f aca="false">IF(A187="","",IF(AND(I187&lt;&gt;"",I187&lt;AsOfDate),"▲ Next date passed",IF(AND(I187&lt;&gt;"",I187&lt;=AsOfDate+7),"● Next date within 7 days",IF(AND(P187&lt;&gt;"",P187&lt;AsOfDate,N187&lt;&gt;"Complete"),"▲ Regulation past target",IF(S187&gt;0,"Open comments","")))))</f>
        <v/>
      </c>
      <c r="V187" s="46"/>
      <c r="W187" s="46"/>
      <c r="X187" s="46"/>
    </row>
    <row r="188" customFormat="false" ht="15" hidden="false" customHeight="false" outlineLevel="0" collapsed="false">
      <c r="A188" s="46"/>
      <c r="B188" s="46"/>
      <c r="C188" s="46"/>
      <c r="D188" s="46"/>
      <c r="E188" s="46"/>
      <c r="F188" s="46"/>
      <c r="G188" s="46"/>
      <c r="H188" s="46"/>
      <c r="I188" s="46"/>
      <c r="J188" s="46"/>
      <c r="K188" s="48" t="str">
        <f aca="false">IF(W188="","",HYPERLINK(W188,"Simbli"))</f>
        <v/>
      </c>
      <c r="L188" s="48" t="str">
        <f aca="false">IF(X188="","",HYPERLINK(X188,"Simbli"))</f>
        <v/>
      </c>
      <c r="M188" s="46"/>
      <c r="N188" s="46"/>
      <c r="O188" s="46"/>
      <c r="P188" s="46" t="str">
        <f aca="false">IF(OR(A188="",O188=""),"",O188+RegDays)</f>
        <v/>
      </c>
      <c r="Q188" s="46" t="str">
        <f aca="false">IF(A188="","",IF(SUMPRODUCT(MAX((Versions!$B$2:$B$501=A188)*(Versions!$M$2:$M$501="Yes")*ROW(Versions!$B$2:$B$501)))=0,"",INDEX(Versions!$A$1:$A$501,SUMPRODUCT(MAX((Versions!$B$2:$B$501=A188)*(Versions!$M$2:$M$501="Yes")*ROW(Versions!$B$2:$B$501))))))</f>
        <v/>
      </c>
      <c r="R188" s="46" t="str">
        <f aca="false">IF(A188="","",COUNTIF(Comments!$B$2:$B$2001,A188))</f>
        <v/>
      </c>
      <c r="S188" s="46" t="str">
        <f aca="false">IF(A188="","",COUNTIFS(Comments!$B$2:$B$2001,A188,Comments!$N$2:$N$2001,"Open"))</f>
        <v/>
      </c>
      <c r="T188" s="46" t="str">
        <f aca="false">IF(A188="","",COUNTIFS('Deferred edits'!$C$2:$C$201,A188,'Deferred edits'!$G$2:$G$201,"Waiting"))</f>
        <v/>
      </c>
      <c r="U188" s="46" t="str">
        <f aca="false">IF(A188="","",IF(AND(I188&lt;&gt;"",I188&lt;AsOfDate),"▲ Next date passed",IF(AND(I188&lt;&gt;"",I188&lt;=AsOfDate+7),"● Next date within 7 days",IF(AND(P188&lt;&gt;"",P188&lt;AsOfDate,N188&lt;&gt;"Complete"),"▲ Regulation past target",IF(S188&gt;0,"Open comments","")))))</f>
        <v/>
      </c>
      <c r="V188" s="46"/>
      <c r="W188" s="46"/>
      <c r="X188" s="46"/>
    </row>
    <row r="189" customFormat="false" ht="15" hidden="false" customHeight="false" outlineLevel="0" collapsed="false">
      <c r="A189" s="46"/>
      <c r="B189" s="46"/>
      <c r="C189" s="46"/>
      <c r="D189" s="46"/>
      <c r="E189" s="46"/>
      <c r="F189" s="46"/>
      <c r="G189" s="46"/>
      <c r="H189" s="46"/>
      <c r="I189" s="46"/>
      <c r="J189" s="46"/>
      <c r="K189" s="48" t="str">
        <f aca="false">IF(W189="","",HYPERLINK(W189,"Simbli"))</f>
        <v/>
      </c>
      <c r="L189" s="48" t="str">
        <f aca="false">IF(X189="","",HYPERLINK(X189,"Simbli"))</f>
        <v/>
      </c>
      <c r="M189" s="46"/>
      <c r="N189" s="46"/>
      <c r="O189" s="46"/>
      <c r="P189" s="46" t="str">
        <f aca="false">IF(OR(A189="",O189=""),"",O189+RegDays)</f>
        <v/>
      </c>
      <c r="Q189" s="46" t="str">
        <f aca="false">IF(A189="","",IF(SUMPRODUCT(MAX((Versions!$B$2:$B$501=A189)*(Versions!$M$2:$M$501="Yes")*ROW(Versions!$B$2:$B$501)))=0,"",INDEX(Versions!$A$1:$A$501,SUMPRODUCT(MAX((Versions!$B$2:$B$501=A189)*(Versions!$M$2:$M$501="Yes")*ROW(Versions!$B$2:$B$501))))))</f>
        <v/>
      </c>
      <c r="R189" s="46" t="str">
        <f aca="false">IF(A189="","",COUNTIF(Comments!$B$2:$B$2001,A189))</f>
        <v/>
      </c>
      <c r="S189" s="46" t="str">
        <f aca="false">IF(A189="","",COUNTIFS(Comments!$B$2:$B$2001,A189,Comments!$N$2:$N$2001,"Open"))</f>
        <v/>
      </c>
      <c r="T189" s="46" t="str">
        <f aca="false">IF(A189="","",COUNTIFS('Deferred edits'!$C$2:$C$201,A189,'Deferred edits'!$G$2:$G$201,"Waiting"))</f>
        <v/>
      </c>
      <c r="U189" s="46" t="str">
        <f aca="false">IF(A189="","",IF(AND(I189&lt;&gt;"",I189&lt;AsOfDate),"▲ Next date passed",IF(AND(I189&lt;&gt;"",I189&lt;=AsOfDate+7),"● Next date within 7 days",IF(AND(P189&lt;&gt;"",P189&lt;AsOfDate,N189&lt;&gt;"Complete"),"▲ Regulation past target",IF(S189&gt;0,"Open comments","")))))</f>
        <v/>
      </c>
      <c r="V189" s="46"/>
      <c r="W189" s="46"/>
      <c r="X189" s="46"/>
    </row>
    <row r="190" customFormat="false" ht="15" hidden="false" customHeight="false" outlineLevel="0" collapsed="false">
      <c r="A190" s="46"/>
      <c r="B190" s="46"/>
      <c r="C190" s="46"/>
      <c r="D190" s="46"/>
      <c r="E190" s="46"/>
      <c r="F190" s="46"/>
      <c r="G190" s="46"/>
      <c r="H190" s="46"/>
      <c r="I190" s="46"/>
      <c r="J190" s="46"/>
      <c r="K190" s="48" t="str">
        <f aca="false">IF(W190="","",HYPERLINK(W190,"Simbli"))</f>
        <v/>
      </c>
      <c r="L190" s="48" t="str">
        <f aca="false">IF(X190="","",HYPERLINK(X190,"Simbli"))</f>
        <v/>
      </c>
      <c r="M190" s="46"/>
      <c r="N190" s="46"/>
      <c r="O190" s="46"/>
      <c r="P190" s="46" t="str">
        <f aca="false">IF(OR(A190="",O190=""),"",O190+RegDays)</f>
        <v/>
      </c>
      <c r="Q190" s="46" t="str">
        <f aca="false">IF(A190="","",IF(SUMPRODUCT(MAX((Versions!$B$2:$B$501=A190)*(Versions!$M$2:$M$501="Yes")*ROW(Versions!$B$2:$B$501)))=0,"",INDEX(Versions!$A$1:$A$501,SUMPRODUCT(MAX((Versions!$B$2:$B$501=A190)*(Versions!$M$2:$M$501="Yes")*ROW(Versions!$B$2:$B$501))))))</f>
        <v/>
      </c>
      <c r="R190" s="46" t="str">
        <f aca="false">IF(A190="","",COUNTIF(Comments!$B$2:$B$2001,A190))</f>
        <v/>
      </c>
      <c r="S190" s="46" t="str">
        <f aca="false">IF(A190="","",COUNTIFS(Comments!$B$2:$B$2001,A190,Comments!$N$2:$N$2001,"Open"))</f>
        <v/>
      </c>
      <c r="T190" s="46" t="str">
        <f aca="false">IF(A190="","",COUNTIFS('Deferred edits'!$C$2:$C$201,A190,'Deferred edits'!$G$2:$G$201,"Waiting"))</f>
        <v/>
      </c>
      <c r="U190" s="46" t="str">
        <f aca="false">IF(A190="","",IF(AND(I190&lt;&gt;"",I190&lt;AsOfDate),"▲ Next date passed",IF(AND(I190&lt;&gt;"",I190&lt;=AsOfDate+7),"● Next date within 7 days",IF(AND(P190&lt;&gt;"",P190&lt;AsOfDate,N190&lt;&gt;"Complete"),"▲ Regulation past target",IF(S190&gt;0,"Open comments","")))))</f>
        <v/>
      </c>
      <c r="V190" s="46"/>
      <c r="W190" s="46"/>
      <c r="X190" s="46"/>
    </row>
    <row r="191" customFormat="false" ht="15" hidden="false" customHeight="false" outlineLevel="0" collapsed="false">
      <c r="A191" s="46"/>
      <c r="B191" s="46"/>
      <c r="C191" s="46"/>
      <c r="D191" s="46"/>
      <c r="E191" s="46"/>
      <c r="F191" s="46"/>
      <c r="G191" s="46"/>
      <c r="H191" s="46"/>
      <c r="I191" s="46"/>
      <c r="J191" s="46"/>
      <c r="K191" s="48" t="str">
        <f aca="false">IF(W191="","",HYPERLINK(W191,"Simbli"))</f>
        <v/>
      </c>
      <c r="L191" s="48" t="str">
        <f aca="false">IF(X191="","",HYPERLINK(X191,"Simbli"))</f>
        <v/>
      </c>
      <c r="M191" s="46"/>
      <c r="N191" s="46"/>
      <c r="O191" s="46"/>
      <c r="P191" s="46" t="str">
        <f aca="false">IF(OR(A191="",O191=""),"",O191+RegDays)</f>
        <v/>
      </c>
      <c r="Q191" s="46" t="str">
        <f aca="false">IF(A191="","",IF(SUMPRODUCT(MAX((Versions!$B$2:$B$501=A191)*(Versions!$M$2:$M$501="Yes")*ROW(Versions!$B$2:$B$501)))=0,"",INDEX(Versions!$A$1:$A$501,SUMPRODUCT(MAX((Versions!$B$2:$B$501=A191)*(Versions!$M$2:$M$501="Yes")*ROW(Versions!$B$2:$B$501))))))</f>
        <v/>
      </c>
      <c r="R191" s="46" t="str">
        <f aca="false">IF(A191="","",COUNTIF(Comments!$B$2:$B$2001,A191))</f>
        <v/>
      </c>
      <c r="S191" s="46" t="str">
        <f aca="false">IF(A191="","",COUNTIFS(Comments!$B$2:$B$2001,A191,Comments!$N$2:$N$2001,"Open"))</f>
        <v/>
      </c>
      <c r="T191" s="46" t="str">
        <f aca="false">IF(A191="","",COUNTIFS('Deferred edits'!$C$2:$C$201,A191,'Deferred edits'!$G$2:$G$201,"Waiting"))</f>
        <v/>
      </c>
      <c r="U191" s="46" t="str">
        <f aca="false">IF(A191="","",IF(AND(I191&lt;&gt;"",I191&lt;AsOfDate),"▲ Next date passed",IF(AND(I191&lt;&gt;"",I191&lt;=AsOfDate+7),"● Next date within 7 days",IF(AND(P191&lt;&gt;"",P191&lt;AsOfDate,N191&lt;&gt;"Complete"),"▲ Regulation past target",IF(S191&gt;0,"Open comments","")))))</f>
        <v/>
      </c>
      <c r="V191" s="46"/>
      <c r="W191" s="46"/>
      <c r="X191" s="46"/>
    </row>
    <row r="192" customFormat="false" ht="15" hidden="false" customHeight="false" outlineLevel="0" collapsed="false">
      <c r="A192" s="46"/>
      <c r="B192" s="46"/>
      <c r="C192" s="46"/>
      <c r="D192" s="46"/>
      <c r="E192" s="46"/>
      <c r="F192" s="46"/>
      <c r="G192" s="46"/>
      <c r="H192" s="46"/>
      <c r="I192" s="46"/>
      <c r="J192" s="46"/>
      <c r="K192" s="48" t="str">
        <f aca="false">IF(W192="","",HYPERLINK(W192,"Simbli"))</f>
        <v/>
      </c>
      <c r="L192" s="48" t="str">
        <f aca="false">IF(X192="","",HYPERLINK(X192,"Simbli"))</f>
        <v/>
      </c>
      <c r="M192" s="46"/>
      <c r="N192" s="46"/>
      <c r="O192" s="46"/>
      <c r="P192" s="46" t="str">
        <f aca="false">IF(OR(A192="",O192=""),"",O192+RegDays)</f>
        <v/>
      </c>
      <c r="Q192" s="46" t="str">
        <f aca="false">IF(A192="","",IF(SUMPRODUCT(MAX((Versions!$B$2:$B$501=A192)*(Versions!$M$2:$M$501="Yes")*ROW(Versions!$B$2:$B$501)))=0,"",INDEX(Versions!$A$1:$A$501,SUMPRODUCT(MAX((Versions!$B$2:$B$501=A192)*(Versions!$M$2:$M$501="Yes")*ROW(Versions!$B$2:$B$501))))))</f>
        <v/>
      </c>
      <c r="R192" s="46" t="str">
        <f aca="false">IF(A192="","",COUNTIF(Comments!$B$2:$B$2001,A192))</f>
        <v/>
      </c>
      <c r="S192" s="46" t="str">
        <f aca="false">IF(A192="","",COUNTIFS(Comments!$B$2:$B$2001,A192,Comments!$N$2:$N$2001,"Open"))</f>
        <v/>
      </c>
      <c r="T192" s="46" t="str">
        <f aca="false">IF(A192="","",COUNTIFS('Deferred edits'!$C$2:$C$201,A192,'Deferred edits'!$G$2:$G$201,"Waiting"))</f>
        <v/>
      </c>
      <c r="U192" s="46" t="str">
        <f aca="false">IF(A192="","",IF(AND(I192&lt;&gt;"",I192&lt;AsOfDate),"▲ Next date passed",IF(AND(I192&lt;&gt;"",I192&lt;=AsOfDate+7),"● Next date within 7 days",IF(AND(P192&lt;&gt;"",P192&lt;AsOfDate,N192&lt;&gt;"Complete"),"▲ Regulation past target",IF(S192&gt;0,"Open comments","")))))</f>
        <v/>
      </c>
      <c r="V192" s="46"/>
      <c r="W192" s="46"/>
      <c r="X192" s="46"/>
    </row>
    <row r="193" customFormat="false" ht="15" hidden="false" customHeight="false" outlineLevel="0" collapsed="false">
      <c r="A193" s="46"/>
      <c r="B193" s="46"/>
      <c r="C193" s="46"/>
      <c r="D193" s="46"/>
      <c r="E193" s="46"/>
      <c r="F193" s="46"/>
      <c r="G193" s="46"/>
      <c r="H193" s="46"/>
      <c r="I193" s="46"/>
      <c r="J193" s="46"/>
      <c r="K193" s="48" t="str">
        <f aca="false">IF(W193="","",HYPERLINK(W193,"Simbli"))</f>
        <v/>
      </c>
      <c r="L193" s="48" t="str">
        <f aca="false">IF(X193="","",HYPERLINK(X193,"Simbli"))</f>
        <v/>
      </c>
      <c r="M193" s="46"/>
      <c r="N193" s="46"/>
      <c r="O193" s="46"/>
      <c r="P193" s="46" t="str">
        <f aca="false">IF(OR(A193="",O193=""),"",O193+RegDays)</f>
        <v/>
      </c>
      <c r="Q193" s="46" t="str">
        <f aca="false">IF(A193="","",IF(SUMPRODUCT(MAX((Versions!$B$2:$B$501=A193)*(Versions!$M$2:$M$501="Yes")*ROW(Versions!$B$2:$B$501)))=0,"",INDEX(Versions!$A$1:$A$501,SUMPRODUCT(MAX((Versions!$B$2:$B$501=A193)*(Versions!$M$2:$M$501="Yes")*ROW(Versions!$B$2:$B$501))))))</f>
        <v/>
      </c>
      <c r="R193" s="46" t="str">
        <f aca="false">IF(A193="","",COUNTIF(Comments!$B$2:$B$2001,A193))</f>
        <v/>
      </c>
      <c r="S193" s="46" t="str">
        <f aca="false">IF(A193="","",COUNTIFS(Comments!$B$2:$B$2001,A193,Comments!$N$2:$N$2001,"Open"))</f>
        <v/>
      </c>
      <c r="T193" s="46" t="str">
        <f aca="false">IF(A193="","",COUNTIFS('Deferred edits'!$C$2:$C$201,A193,'Deferred edits'!$G$2:$G$201,"Waiting"))</f>
        <v/>
      </c>
      <c r="U193" s="46" t="str">
        <f aca="false">IF(A193="","",IF(AND(I193&lt;&gt;"",I193&lt;AsOfDate),"▲ Next date passed",IF(AND(I193&lt;&gt;"",I193&lt;=AsOfDate+7),"● Next date within 7 days",IF(AND(P193&lt;&gt;"",P193&lt;AsOfDate,N193&lt;&gt;"Complete"),"▲ Regulation past target",IF(S193&gt;0,"Open comments","")))))</f>
        <v/>
      </c>
      <c r="V193" s="46"/>
      <c r="W193" s="46"/>
      <c r="X193" s="46"/>
    </row>
    <row r="194" customFormat="false" ht="15" hidden="false" customHeight="false" outlineLevel="0" collapsed="false">
      <c r="A194" s="46"/>
      <c r="B194" s="46"/>
      <c r="C194" s="46"/>
      <c r="D194" s="46"/>
      <c r="E194" s="46"/>
      <c r="F194" s="46"/>
      <c r="G194" s="46"/>
      <c r="H194" s="46"/>
      <c r="I194" s="46"/>
      <c r="J194" s="46"/>
      <c r="K194" s="48" t="str">
        <f aca="false">IF(W194="","",HYPERLINK(W194,"Simbli"))</f>
        <v/>
      </c>
      <c r="L194" s="48" t="str">
        <f aca="false">IF(X194="","",HYPERLINK(X194,"Simbli"))</f>
        <v/>
      </c>
      <c r="M194" s="46"/>
      <c r="N194" s="46"/>
      <c r="O194" s="46"/>
      <c r="P194" s="46" t="str">
        <f aca="false">IF(OR(A194="",O194=""),"",O194+RegDays)</f>
        <v/>
      </c>
      <c r="Q194" s="46" t="str">
        <f aca="false">IF(A194="","",IF(SUMPRODUCT(MAX((Versions!$B$2:$B$501=A194)*(Versions!$M$2:$M$501="Yes")*ROW(Versions!$B$2:$B$501)))=0,"",INDEX(Versions!$A$1:$A$501,SUMPRODUCT(MAX((Versions!$B$2:$B$501=A194)*(Versions!$M$2:$M$501="Yes")*ROW(Versions!$B$2:$B$501))))))</f>
        <v/>
      </c>
      <c r="R194" s="46" t="str">
        <f aca="false">IF(A194="","",COUNTIF(Comments!$B$2:$B$2001,A194))</f>
        <v/>
      </c>
      <c r="S194" s="46" t="str">
        <f aca="false">IF(A194="","",COUNTIFS(Comments!$B$2:$B$2001,A194,Comments!$N$2:$N$2001,"Open"))</f>
        <v/>
      </c>
      <c r="T194" s="46" t="str">
        <f aca="false">IF(A194="","",COUNTIFS('Deferred edits'!$C$2:$C$201,A194,'Deferred edits'!$G$2:$G$201,"Waiting"))</f>
        <v/>
      </c>
      <c r="U194" s="46" t="str">
        <f aca="false">IF(A194="","",IF(AND(I194&lt;&gt;"",I194&lt;AsOfDate),"▲ Next date passed",IF(AND(I194&lt;&gt;"",I194&lt;=AsOfDate+7),"● Next date within 7 days",IF(AND(P194&lt;&gt;"",P194&lt;AsOfDate,N194&lt;&gt;"Complete"),"▲ Regulation past target",IF(S194&gt;0,"Open comments","")))))</f>
        <v/>
      </c>
      <c r="V194" s="46"/>
      <c r="W194" s="46"/>
      <c r="X194" s="46"/>
    </row>
    <row r="195" customFormat="false" ht="15" hidden="false" customHeight="false" outlineLevel="0" collapsed="false">
      <c r="A195" s="46"/>
      <c r="B195" s="46"/>
      <c r="C195" s="46"/>
      <c r="D195" s="46"/>
      <c r="E195" s="46"/>
      <c r="F195" s="46"/>
      <c r="G195" s="46"/>
      <c r="H195" s="46"/>
      <c r="I195" s="46"/>
      <c r="J195" s="46"/>
      <c r="K195" s="48" t="str">
        <f aca="false">IF(W195="","",HYPERLINK(W195,"Simbli"))</f>
        <v/>
      </c>
      <c r="L195" s="48" t="str">
        <f aca="false">IF(X195="","",HYPERLINK(X195,"Simbli"))</f>
        <v/>
      </c>
      <c r="M195" s="46"/>
      <c r="N195" s="46"/>
      <c r="O195" s="46"/>
      <c r="P195" s="46" t="str">
        <f aca="false">IF(OR(A195="",O195=""),"",O195+RegDays)</f>
        <v/>
      </c>
      <c r="Q195" s="46" t="str">
        <f aca="false">IF(A195="","",IF(SUMPRODUCT(MAX((Versions!$B$2:$B$501=A195)*(Versions!$M$2:$M$501="Yes")*ROW(Versions!$B$2:$B$501)))=0,"",INDEX(Versions!$A$1:$A$501,SUMPRODUCT(MAX((Versions!$B$2:$B$501=A195)*(Versions!$M$2:$M$501="Yes")*ROW(Versions!$B$2:$B$501))))))</f>
        <v/>
      </c>
      <c r="R195" s="46" t="str">
        <f aca="false">IF(A195="","",COUNTIF(Comments!$B$2:$B$2001,A195))</f>
        <v/>
      </c>
      <c r="S195" s="46" t="str">
        <f aca="false">IF(A195="","",COUNTIFS(Comments!$B$2:$B$2001,A195,Comments!$N$2:$N$2001,"Open"))</f>
        <v/>
      </c>
      <c r="T195" s="46" t="str">
        <f aca="false">IF(A195="","",COUNTIFS('Deferred edits'!$C$2:$C$201,A195,'Deferred edits'!$G$2:$G$201,"Waiting"))</f>
        <v/>
      </c>
      <c r="U195" s="46" t="str">
        <f aca="false">IF(A195="","",IF(AND(I195&lt;&gt;"",I195&lt;AsOfDate),"▲ Next date passed",IF(AND(I195&lt;&gt;"",I195&lt;=AsOfDate+7),"● Next date within 7 days",IF(AND(P195&lt;&gt;"",P195&lt;AsOfDate,N195&lt;&gt;"Complete"),"▲ Regulation past target",IF(S195&gt;0,"Open comments","")))))</f>
        <v/>
      </c>
      <c r="V195" s="46"/>
      <c r="W195" s="46"/>
      <c r="X195" s="46"/>
    </row>
    <row r="196" customFormat="false" ht="15" hidden="false" customHeight="false" outlineLevel="0" collapsed="false">
      <c r="A196" s="46"/>
      <c r="B196" s="46"/>
      <c r="C196" s="46"/>
      <c r="D196" s="46"/>
      <c r="E196" s="46"/>
      <c r="F196" s="46"/>
      <c r="G196" s="46"/>
      <c r="H196" s="46"/>
      <c r="I196" s="46"/>
      <c r="J196" s="46"/>
      <c r="K196" s="48" t="str">
        <f aca="false">IF(W196="","",HYPERLINK(W196,"Simbli"))</f>
        <v/>
      </c>
      <c r="L196" s="48" t="str">
        <f aca="false">IF(X196="","",HYPERLINK(X196,"Simbli"))</f>
        <v/>
      </c>
      <c r="M196" s="46"/>
      <c r="N196" s="46"/>
      <c r="O196" s="46"/>
      <c r="P196" s="46" t="str">
        <f aca="false">IF(OR(A196="",O196=""),"",O196+RegDays)</f>
        <v/>
      </c>
      <c r="Q196" s="46" t="str">
        <f aca="false">IF(A196="","",IF(SUMPRODUCT(MAX((Versions!$B$2:$B$501=A196)*(Versions!$M$2:$M$501="Yes")*ROW(Versions!$B$2:$B$501)))=0,"",INDEX(Versions!$A$1:$A$501,SUMPRODUCT(MAX((Versions!$B$2:$B$501=A196)*(Versions!$M$2:$M$501="Yes")*ROW(Versions!$B$2:$B$501))))))</f>
        <v/>
      </c>
      <c r="R196" s="46" t="str">
        <f aca="false">IF(A196="","",COUNTIF(Comments!$B$2:$B$2001,A196))</f>
        <v/>
      </c>
      <c r="S196" s="46" t="str">
        <f aca="false">IF(A196="","",COUNTIFS(Comments!$B$2:$B$2001,A196,Comments!$N$2:$N$2001,"Open"))</f>
        <v/>
      </c>
      <c r="T196" s="46" t="str">
        <f aca="false">IF(A196="","",COUNTIFS('Deferred edits'!$C$2:$C$201,A196,'Deferred edits'!$G$2:$G$201,"Waiting"))</f>
        <v/>
      </c>
      <c r="U196" s="46" t="str">
        <f aca="false">IF(A196="","",IF(AND(I196&lt;&gt;"",I196&lt;AsOfDate),"▲ Next date passed",IF(AND(I196&lt;&gt;"",I196&lt;=AsOfDate+7),"● Next date within 7 days",IF(AND(P196&lt;&gt;"",P196&lt;AsOfDate,N196&lt;&gt;"Complete"),"▲ Regulation past target",IF(S196&gt;0,"Open comments","")))))</f>
        <v/>
      </c>
      <c r="V196" s="46"/>
      <c r="W196" s="46"/>
      <c r="X196" s="46"/>
    </row>
    <row r="197" customFormat="false" ht="15" hidden="false" customHeight="false" outlineLevel="0" collapsed="false">
      <c r="A197" s="46"/>
      <c r="B197" s="46"/>
      <c r="C197" s="46"/>
      <c r="D197" s="46"/>
      <c r="E197" s="46"/>
      <c r="F197" s="46"/>
      <c r="G197" s="46"/>
      <c r="H197" s="46"/>
      <c r="I197" s="46"/>
      <c r="J197" s="46"/>
      <c r="K197" s="48" t="str">
        <f aca="false">IF(W197="","",HYPERLINK(W197,"Simbli"))</f>
        <v/>
      </c>
      <c r="L197" s="48" t="str">
        <f aca="false">IF(X197="","",HYPERLINK(X197,"Simbli"))</f>
        <v/>
      </c>
      <c r="M197" s="46"/>
      <c r="N197" s="46"/>
      <c r="O197" s="46"/>
      <c r="P197" s="46" t="str">
        <f aca="false">IF(OR(A197="",O197=""),"",O197+RegDays)</f>
        <v/>
      </c>
      <c r="Q197" s="46" t="str">
        <f aca="false">IF(A197="","",IF(SUMPRODUCT(MAX((Versions!$B$2:$B$501=A197)*(Versions!$M$2:$M$501="Yes")*ROW(Versions!$B$2:$B$501)))=0,"",INDEX(Versions!$A$1:$A$501,SUMPRODUCT(MAX((Versions!$B$2:$B$501=A197)*(Versions!$M$2:$M$501="Yes")*ROW(Versions!$B$2:$B$501))))))</f>
        <v/>
      </c>
      <c r="R197" s="46" t="str">
        <f aca="false">IF(A197="","",COUNTIF(Comments!$B$2:$B$2001,A197))</f>
        <v/>
      </c>
      <c r="S197" s="46" t="str">
        <f aca="false">IF(A197="","",COUNTIFS(Comments!$B$2:$B$2001,A197,Comments!$N$2:$N$2001,"Open"))</f>
        <v/>
      </c>
      <c r="T197" s="46" t="str">
        <f aca="false">IF(A197="","",COUNTIFS('Deferred edits'!$C$2:$C$201,A197,'Deferred edits'!$G$2:$G$201,"Waiting"))</f>
        <v/>
      </c>
      <c r="U197" s="46" t="str">
        <f aca="false">IF(A197="","",IF(AND(I197&lt;&gt;"",I197&lt;AsOfDate),"▲ Next date passed",IF(AND(I197&lt;&gt;"",I197&lt;=AsOfDate+7),"● Next date within 7 days",IF(AND(P197&lt;&gt;"",P197&lt;AsOfDate,N197&lt;&gt;"Complete"),"▲ Regulation past target",IF(S197&gt;0,"Open comments","")))))</f>
        <v/>
      </c>
      <c r="V197" s="46"/>
      <c r="W197" s="46"/>
      <c r="X197" s="46"/>
    </row>
    <row r="198" customFormat="false" ht="15" hidden="false" customHeight="false" outlineLevel="0" collapsed="false">
      <c r="A198" s="46"/>
      <c r="B198" s="46"/>
      <c r="C198" s="46"/>
      <c r="D198" s="46"/>
      <c r="E198" s="46"/>
      <c r="F198" s="46"/>
      <c r="G198" s="46"/>
      <c r="H198" s="46"/>
      <c r="I198" s="46"/>
      <c r="J198" s="46"/>
      <c r="K198" s="48" t="str">
        <f aca="false">IF(W198="","",HYPERLINK(W198,"Simbli"))</f>
        <v/>
      </c>
      <c r="L198" s="48" t="str">
        <f aca="false">IF(X198="","",HYPERLINK(X198,"Simbli"))</f>
        <v/>
      </c>
      <c r="M198" s="46"/>
      <c r="N198" s="46"/>
      <c r="O198" s="46"/>
      <c r="P198" s="46" t="str">
        <f aca="false">IF(OR(A198="",O198=""),"",O198+RegDays)</f>
        <v/>
      </c>
      <c r="Q198" s="46" t="str">
        <f aca="false">IF(A198="","",IF(SUMPRODUCT(MAX((Versions!$B$2:$B$501=A198)*(Versions!$M$2:$M$501="Yes")*ROW(Versions!$B$2:$B$501)))=0,"",INDEX(Versions!$A$1:$A$501,SUMPRODUCT(MAX((Versions!$B$2:$B$501=A198)*(Versions!$M$2:$M$501="Yes")*ROW(Versions!$B$2:$B$501))))))</f>
        <v/>
      </c>
      <c r="R198" s="46" t="str">
        <f aca="false">IF(A198="","",COUNTIF(Comments!$B$2:$B$2001,A198))</f>
        <v/>
      </c>
      <c r="S198" s="46" t="str">
        <f aca="false">IF(A198="","",COUNTIFS(Comments!$B$2:$B$2001,A198,Comments!$N$2:$N$2001,"Open"))</f>
        <v/>
      </c>
      <c r="T198" s="46" t="str">
        <f aca="false">IF(A198="","",COUNTIFS('Deferred edits'!$C$2:$C$201,A198,'Deferred edits'!$G$2:$G$201,"Waiting"))</f>
        <v/>
      </c>
      <c r="U198" s="46" t="str">
        <f aca="false">IF(A198="","",IF(AND(I198&lt;&gt;"",I198&lt;AsOfDate),"▲ Next date passed",IF(AND(I198&lt;&gt;"",I198&lt;=AsOfDate+7),"● Next date within 7 days",IF(AND(P198&lt;&gt;"",P198&lt;AsOfDate,N198&lt;&gt;"Complete"),"▲ Regulation past target",IF(S198&gt;0,"Open comments","")))))</f>
        <v/>
      </c>
      <c r="V198" s="46"/>
      <c r="W198" s="46"/>
      <c r="X198" s="46"/>
    </row>
    <row r="199" customFormat="false" ht="15" hidden="false" customHeight="false" outlineLevel="0" collapsed="false">
      <c r="A199" s="46"/>
      <c r="B199" s="46"/>
      <c r="C199" s="46"/>
      <c r="D199" s="46"/>
      <c r="E199" s="46"/>
      <c r="F199" s="46"/>
      <c r="G199" s="46"/>
      <c r="H199" s="46"/>
      <c r="I199" s="46"/>
      <c r="J199" s="46"/>
      <c r="K199" s="48" t="str">
        <f aca="false">IF(W199="","",HYPERLINK(W199,"Simbli"))</f>
        <v/>
      </c>
      <c r="L199" s="48" t="str">
        <f aca="false">IF(X199="","",HYPERLINK(X199,"Simbli"))</f>
        <v/>
      </c>
      <c r="M199" s="46"/>
      <c r="N199" s="46"/>
      <c r="O199" s="46"/>
      <c r="P199" s="46" t="str">
        <f aca="false">IF(OR(A199="",O199=""),"",O199+RegDays)</f>
        <v/>
      </c>
      <c r="Q199" s="46" t="str">
        <f aca="false">IF(A199="","",IF(SUMPRODUCT(MAX((Versions!$B$2:$B$501=A199)*(Versions!$M$2:$M$501="Yes")*ROW(Versions!$B$2:$B$501)))=0,"",INDEX(Versions!$A$1:$A$501,SUMPRODUCT(MAX((Versions!$B$2:$B$501=A199)*(Versions!$M$2:$M$501="Yes")*ROW(Versions!$B$2:$B$501))))))</f>
        <v/>
      </c>
      <c r="R199" s="46" t="str">
        <f aca="false">IF(A199="","",COUNTIF(Comments!$B$2:$B$2001,A199))</f>
        <v/>
      </c>
      <c r="S199" s="46" t="str">
        <f aca="false">IF(A199="","",COUNTIFS(Comments!$B$2:$B$2001,A199,Comments!$N$2:$N$2001,"Open"))</f>
        <v/>
      </c>
      <c r="T199" s="46" t="str">
        <f aca="false">IF(A199="","",COUNTIFS('Deferred edits'!$C$2:$C$201,A199,'Deferred edits'!$G$2:$G$201,"Waiting"))</f>
        <v/>
      </c>
      <c r="U199" s="46" t="str">
        <f aca="false">IF(A199="","",IF(AND(I199&lt;&gt;"",I199&lt;AsOfDate),"▲ Next date passed",IF(AND(I199&lt;&gt;"",I199&lt;=AsOfDate+7),"● Next date within 7 days",IF(AND(P199&lt;&gt;"",P199&lt;AsOfDate,N199&lt;&gt;"Complete"),"▲ Regulation past target",IF(S199&gt;0,"Open comments","")))))</f>
        <v/>
      </c>
      <c r="V199" s="46"/>
      <c r="W199" s="46"/>
      <c r="X199" s="46"/>
    </row>
    <row r="200" customFormat="false" ht="15" hidden="false" customHeight="false" outlineLevel="0" collapsed="false">
      <c r="A200" s="46"/>
      <c r="B200" s="46"/>
      <c r="C200" s="46"/>
      <c r="D200" s="46"/>
      <c r="E200" s="46"/>
      <c r="F200" s="46"/>
      <c r="G200" s="46"/>
      <c r="H200" s="46"/>
      <c r="I200" s="46"/>
      <c r="J200" s="46"/>
      <c r="K200" s="48" t="str">
        <f aca="false">IF(W200="","",HYPERLINK(W200,"Simbli"))</f>
        <v/>
      </c>
      <c r="L200" s="48" t="str">
        <f aca="false">IF(X200="","",HYPERLINK(X200,"Simbli"))</f>
        <v/>
      </c>
      <c r="M200" s="46"/>
      <c r="N200" s="46"/>
      <c r="O200" s="46"/>
      <c r="P200" s="46" t="str">
        <f aca="false">IF(OR(A200="",O200=""),"",O200+RegDays)</f>
        <v/>
      </c>
      <c r="Q200" s="46" t="str">
        <f aca="false">IF(A200="","",IF(SUMPRODUCT(MAX((Versions!$B$2:$B$501=A200)*(Versions!$M$2:$M$501="Yes")*ROW(Versions!$B$2:$B$501)))=0,"",INDEX(Versions!$A$1:$A$501,SUMPRODUCT(MAX((Versions!$B$2:$B$501=A200)*(Versions!$M$2:$M$501="Yes")*ROW(Versions!$B$2:$B$501))))))</f>
        <v/>
      </c>
      <c r="R200" s="46" t="str">
        <f aca="false">IF(A200="","",COUNTIF(Comments!$B$2:$B$2001,A200))</f>
        <v/>
      </c>
      <c r="S200" s="46" t="str">
        <f aca="false">IF(A200="","",COUNTIFS(Comments!$B$2:$B$2001,A200,Comments!$N$2:$N$2001,"Open"))</f>
        <v/>
      </c>
      <c r="T200" s="46" t="str">
        <f aca="false">IF(A200="","",COUNTIFS('Deferred edits'!$C$2:$C$201,A200,'Deferred edits'!$G$2:$G$201,"Waiting"))</f>
        <v/>
      </c>
      <c r="U200" s="46" t="str">
        <f aca="false">IF(A200="","",IF(AND(I200&lt;&gt;"",I200&lt;AsOfDate),"▲ Next date passed",IF(AND(I200&lt;&gt;"",I200&lt;=AsOfDate+7),"● Next date within 7 days",IF(AND(P200&lt;&gt;"",P200&lt;AsOfDate,N200&lt;&gt;"Complete"),"▲ Regulation past target",IF(S200&gt;0,"Open comments","")))))</f>
        <v/>
      </c>
      <c r="V200" s="46"/>
      <c r="W200" s="46"/>
      <c r="X200" s="46"/>
    </row>
    <row r="201" customFormat="false" ht="15" hidden="false" customHeight="false" outlineLevel="0" collapsed="false">
      <c r="A201" s="46"/>
      <c r="B201" s="46"/>
      <c r="C201" s="46"/>
      <c r="D201" s="46"/>
      <c r="E201" s="46"/>
      <c r="F201" s="46"/>
      <c r="G201" s="46"/>
      <c r="H201" s="46"/>
      <c r="I201" s="46"/>
      <c r="J201" s="46"/>
      <c r="K201" s="48" t="str">
        <f aca="false">IF(W201="","",HYPERLINK(W201,"Simbli"))</f>
        <v/>
      </c>
      <c r="L201" s="48" t="str">
        <f aca="false">IF(X201="","",HYPERLINK(X201,"Simbli"))</f>
        <v/>
      </c>
      <c r="M201" s="46"/>
      <c r="N201" s="46"/>
      <c r="O201" s="46"/>
      <c r="P201" s="46" t="str">
        <f aca="false">IF(OR(A201="",O201=""),"",O201+RegDays)</f>
        <v/>
      </c>
      <c r="Q201" s="46" t="str">
        <f aca="false">IF(A201="","",IF(SUMPRODUCT(MAX((Versions!$B$2:$B$501=A201)*(Versions!$M$2:$M$501="Yes")*ROW(Versions!$B$2:$B$501)))=0,"",INDEX(Versions!$A$1:$A$501,SUMPRODUCT(MAX((Versions!$B$2:$B$501=A201)*(Versions!$M$2:$M$501="Yes")*ROW(Versions!$B$2:$B$501))))))</f>
        <v/>
      </c>
      <c r="R201" s="46" t="str">
        <f aca="false">IF(A201="","",COUNTIF(Comments!$B$2:$B$2001,A201))</f>
        <v/>
      </c>
      <c r="S201" s="46" t="str">
        <f aca="false">IF(A201="","",COUNTIFS(Comments!$B$2:$B$2001,A201,Comments!$N$2:$N$2001,"Open"))</f>
        <v/>
      </c>
      <c r="T201" s="46" t="str">
        <f aca="false">IF(A201="","",COUNTIFS('Deferred edits'!$C$2:$C$201,A201,'Deferred edits'!$G$2:$G$201,"Waiting"))</f>
        <v/>
      </c>
      <c r="U201" s="46" t="str">
        <f aca="false">IF(A201="","",IF(AND(I201&lt;&gt;"",I201&lt;AsOfDate),"▲ Next date passed",IF(AND(I201&lt;&gt;"",I201&lt;=AsOfDate+7),"● Next date within 7 days",IF(AND(P201&lt;&gt;"",P201&lt;AsOfDate,N201&lt;&gt;"Complete"),"▲ Regulation past target",IF(S201&gt;0,"Open comments","")))))</f>
        <v/>
      </c>
      <c r="V201" s="46"/>
      <c r="W201" s="46"/>
      <c r="X201" s="46"/>
    </row>
    <row r="202" customFormat="false" ht="15" hidden="false" customHeight="false" outlineLevel="0" collapsed="false">
      <c r="A202" s="46"/>
      <c r="B202" s="46"/>
      <c r="C202" s="46"/>
      <c r="D202" s="46"/>
      <c r="E202" s="46"/>
      <c r="F202" s="46"/>
      <c r="G202" s="46"/>
      <c r="H202" s="46"/>
      <c r="I202" s="46"/>
      <c r="J202" s="46"/>
      <c r="K202" s="48" t="str">
        <f aca="false">IF(W202="","",HYPERLINK(W202,"Simbli"))</f>
        <v/>
      </c>
      <c r="L202" s="48" t="str">
        <f aca="false">IF(X202="","",HYPERLINK(X202,"Simbli"))</f>
        <v/>
      </c>
      <c r="M202" s="46"/>
      <c r="N202" s="46"/>
      <c r="O202" s="46"/>
      <c r="P202" s="46" t="str">
        <f aca="false">IF(OR(A202="",O202=""),"",O202+RegDays)</f>
        <v/>
      </c>
      <c r="Q202" s="46" t="str">
        <f aca="false">IF(A202="","",IF(SUMPRODUCT(MAX((Versions!$B$2:$B$501=A202)*(Versions!$M$2:$M$501="Yes")*ROW(Versions!$B$2:$B$501)))=0,"",INDEX(Versions!$A$1:$A$501,SUMPRODUCT(MAX((Versions!$B$2:$B$501=A202)*(Versions!$M$2:$M$501="Yes")*ROW(Versions!$B$2:$B$501))))))</f>
        <v/>
      </c>
      <c r="R202" s="46" t="str">
        <f aca="false">IF(A202="","",COUNTIF(Comments!$B$2:$B$2001,A202))</f>
        <v/>
      </c>
      <c r="S202" s="46" t="str">
        <f aca="false">IF(A202="","",COUNTIFS(Comments!$B$2:$B$2001,A202,Comments!$N$2:$N$2001,"Open"))</f>
        <v/>
      </c>
      <c r="T202" s="46" t="str">
        <f aca="false">IF(A202="","",COUNTIFS('Deferred edits'!$C$2:$C$201,A202,'Deferred edits'!$G$2:$G$201,"Waiting"))</f>
        <v/>
      </c>
      <c r="U202" s="46" t="str">
        <f aca="false">IF(A202="","",IF(AND(I202&lt;&gt;"",I202&lt;AsOfDate),"▲ Next date passed",IF(AND(I202&lt;&gt;"",I202&lt;=AsOfDate+7),"● Next date within 7 days",IF(AND(P202&lt;&gt;"",P202&lt;AsOfDate,N202&lt;&gt;"Complete"),"▲ Regulation past target",IF(S202&gt;0,"Open comments","")))))</f>
        <v/>
      </c>
      <c r="V202" s="46"/>
      <c r="W202" s="46"/>
      <c r="X202" s="46"/>
    </row>
    <row r="203" customFormat="false" ht="15" hidden="false" customHeight="false" outlineLevel="0" collapsed="false">
      <c r="A203" s="46"/>
      <c r="B203" s="46"/>
      <c r="C203" s="46"/>
      <c r="D203" s="46"/>
      <c r="E203" s="46"/>
      <c r="F203" s="46"/>
      <c r="G203" s="46"/>
      <c r="H203" s="46"/>
      <c r="I203" s="46"/>
      <c r="J203" s="46"/>
      <c r="K203" s="48" t="str">
        <f aca="false">IF(W203="","",HYPERLINK(W203,"Simbli"))</f>
        <v/>
      </c>
      <c r="L203" s="48" t="str">
        <f aca="false">IF(X203="","",HYPERLINK(X203,"Simbli"))</f>
        <v/>
      </c>
      <c r="M203" s="46"/>
      <c r="N203" s="46"/>
      <c r="O203" s="46"/>
      <c r="P203" s="46" t="str">
        <f aca="false">IF(OR(A203="",O203=""),"",O203+RegDays)</f>
        <v/>
      </c>
      <c r="Q203" s="46" t="str">
        <f aca="false">IF(A203="","",IF(SUMPRODUCT(MAX((Versions!$B$2:$B$501=A203)*(Versions!$M$2:$M$501="Yes")*ROW(Versions!$B$2:$B$501)))=0,"",INDEX(Versions!$A$1:$A$501,SUMPRODUCT(MAX((Versions!$B$2:$B$501=A203)*(Versions!$M$2:$M$501="Yes")*ROW(Versions!$B$2:$B$501))))))</f>
        <v/>
      </c>
      <c r="R203" s="46" t="str">
        <f aca="false">IF(A203="","",COUNTIF(Comments!$B$2:$B$2001,A203))</f>
        <v/>
      </c>
      <c r="S203" s="46" t="str">
        <f aca="false">IF(A203="","",COUNTIFS(Comments!$B$2:$B$2001,A203,Comments!$N$2:$N$2001,"Open"))</f>
        <v/>
      </c>
      <c r="T203" s="46" t="str">
        <f aca="false">IF(A203="","",COUNTIFS('Deferred edits'!$C$2:$C$201,A203,'Deferred edits'!$G$2:$G$201,"Waiting"))</f>
        <v/>
      </c>
      <c r="U203" s="46" t="str">
        <f aca="false">IF(A203="","",IF(AND(I203&lt;&gt;"",I203&lt;AsOfDate),"▲ Next date passed",IF(AND(I203&lt;&gt;"",I203&lt;=AsOfDate+7),"● Next date within 7 days",IF(AND(P203&lt;&gt;"",P203&lt;AsOfDate,N203&lt;&gt;"Complete"),"▲ Regulation past target",IF(S203&gt;0,"Open comments","")))))</f>
        <v/>
      </c>
      <c r="V203" s="46"/>
      <c r="W203" s="46"/>
      <c r="X203" s="46"/>
    </row>
    <row r="204" customFormat="false" ht="15" hidden="false" customHeight="false" outlineLevel="0" collapsed="false">
      <c r="A204" s="46"/>
      <c r="B204" s="46"/>
      <c r="C204" s="46"/>
      <c r="D204" s="46"/>
      <c r="E204" s="46"/>
      <c r="F204" s="46"/>
      <c r="G204" s="46"/>
      <c r="H204" s="46"/>
      <c r="I204" s="46"/>
      <c r="J204" s="46"/>
      <c r="K204" s="48" t="str">
        <f aca="false">IF(W204="","",HYPERLINK(W204,"Simbli"))</f>
        <v/>
      </c>
      <c r="L204" s="48" t="str">
        <f aca="false">IF(X204="","",HYPERLINK(X204,"Simbli"))</f>
        <v/>
      </c>
      <c r="M204" s="46"/>
      <c r="N204" s="46"/>
      <c r="O204" s="46"/>
      <c r="P204" s="46" t="str">
        <f aca="false">IF(OR(A204="",O204=""),"",O204+RegDays)</f>
        <v/>
      </c>
      <c r="Q204" s="46" t="str">
        <f aca="false">IF(A204="","",IF(SUMPRODUCT(MAX((Versions!$B$2:$B$501=A204)*(Versions!$M$2:$M$501="Yes")*ROW(Versions!$B$2:$B$501)))=0,"",INDEX(Versions!$A$1:$A$501,SUMPRODUCT(MAX((Versions!$B$2:$B$501=A204)*(Versions!$M$2:$M$501="Yes")*ROW(Versions!$B$2:$B$501))))))</f>
        <v/>
      </c>
      <c r="R204" s="46" t="str">
        <f aca="false">IF(A204="","",COUNTIF(Comments!$B$2:$B$2001,A204))</f>
        <v/>
      </c>
      <c r="S204" s="46" t="str">
        <f aca="false">IF(A204="","",COUNTIFS(Comments!$B$2:$B$2001,A204,Comments!$N$2:$N$2001,"Open"))</f>
        <v/>
      </c>
      <c r="T204" s="46" t="str">
        <f aca="false">IF(A204="","",COUNTIFS('Deferred edits'!$C$2:$C$201,A204,'Deferred edits'!$G$2:$G$201,"Waiting"))</f>
        <v/>
      </c>
      <c r="U204" s="46" t="str">
        <f aca="false">IF(A204="","",IF(AND(I204&lt;&gt;"",I204&lt;AsOfDate),"▲ Next date passed",IF(AND(I204&lt;&gt;"",I204&lt;=AsOfDate+7),"● Next date within 7 days",IF(AND(P204&lt;&gt;"",P204&lt;AsOfDate,N204&lt;&gt;"Complete"),"▲ Regulation past target",IF(S204&gt;0,"Open comments","")))))</f>
        <v/>
      </c>
      <c r="V204" s="46"/>
      <c r="W204" s="46"/>
      <c r="X204" s="46"/>
    </row>
    <row r="205" customFormat="false" ht="15" hidden="false" customHeight="false" outlineLevel="0" collapsed="false">
      <c r="A205" s="46"/>
      <c r="B205" s="46"/>
      <c r="C205" s="46"/>
      <c r="D205" s="46"/>
      <c r="E205" s="46"/>
      <c r="F205" s="46"/>
      <c r="G205" s="46"/>
      <c r="H205" s="46"/>
      <c r="I205" s="46"/>
      <c r="J205" s="46"/>
      <c r="K205" s="48" t="str">
        <f aca="false">IF(W205="","",HYPERLINK(W205,"Simbli"))</f>
        <v/>
      </c>
      <c r="L205" s="48" t="str">
        <f aca="false">IF(X205="","",HYPERLINK(X205,"Simbli"))</f>
        <v/>
      </c>
      <c r="M205" s="46"/>
      <c r="N205" s="46"/>
      <c r="O205" s="46"/>
      <c r="P205" s="46" t="str">
        <f aca="false">IF(OR(A205="",O205=""),"",O205+RegDays)</f>
        <v/>
      </c>
      <c r="Q205" s="46" t="str">
        <f aca="false">IF(A205="","",IF(SUMPRODUCT(MAX((Versions!$B$2:$B$501=A205)*(Versions!$M$2:$M$501="Yes")*ROW(Versions!$B$2:$B$501)))=0,"",INDEX(Versions!$A$1:$A$501,SUMPRODUCT(MAX((Versions!$B$2:$B$501=A205)*(Versions!$M$2:$M$501="Yes")*ROW(Versions!$B$2:$B$501))))))</f>
        <v/>
      </c>
      <c r="R205" s="46" t="str">
        <f aca="false">IF(A205="","",COUNTIF(Comments!$B$2:$B$2001,A205))</f>
        <v/>
      </c>
      <c r="S205" s="46" t="str">
        <f aca="false">IF(A205="","",COUNTIFS(Comments!$B$2:$B$2001,A205,Comments!$N$2:$N$2001,"Open"))</f>
        <v/>
      </c>
      <c r="T205" s="46" t="str">
        <f aca="false">IF(A205="","",COUNTIFS('Deferred edits'!$C$2:$C$201,A205,'Deferred edits'!$G$2:$G$201,"Waiting"))</f>
        <v/>
      </c>
      <c r="U205" s="46" t="str">
        <f aca="false">IF(A205="","",IF(AND(I205&lt;&gt;"",I205&lt;AsOfDate),"▲ Next date passed",IF(AND(I205&lt;&gt;"",I205&lt;=AsOfDate+7),"● Next date within 7 days",IF(AND(P205&lt;&gt;"",P205&lt;AsOfDate,N205&lt;&gt;"Complete"),"▲ Regulation past target",IF(S205&gt;0,"Open comments","")))))</f>
        <v/>
      </c>
      <c r="V205" s="46"/>
      <c r="W205" s="46"/>
      <c r="X205" s="46"/>
    </row>
    <row r="206" customFormat="false" ht="15" hidden="false" customHeight="false" outlineLevel="0" collapsed="false">
      <c r="A206" s="46"/>
      <c r="B206" s="46"/>
      <c r="C206" s="46"/>
      <c r="D206" s="46"/>
      <c r="E206" s="46"/>
      <c r="F206" s="46"/>
      <c r="G206" s="46"/>
      <c r="H206" s="46"/>
      <c r="I206" s="46"/>
      <c r="J206" s="46"/>
      <c r="K206" s="48" t="str">
        <f aca="false">IF(W206="","",HYPERLINK(W206,"Simbli"))</f>
        <v/>
      </c>
      <c r="L206" s="48" t="str">
        <f aca="false">IF(X206="","",HYPERLINK(X206,"Simbli"))</f>
        <v/>
      </c>
      <c r="M206" s="46"/>
      <c r="N206" s="46"/>
      <c r="O206" s="46"/>
      <c r="P206" s="46" t="str">
        <f aca="false">IF(OR(A206="",O206=""),"",O206+RegDays)</f>
        <v/>
      </c>
      <c r="Q206" s="46" t="str">
        <f aca="false">IF(A206="","",IF(SUMPRODUCT(MAX((Versions!$B$2:$B$501=A206)*(Versions!$M$2:$M$501="Yes")*ROW(Versions!$B$2:$B$501)))=0,"",INDEX(Versions!$A$1:$A$501,SUMPRODUCT(MAX((Versions!$B$2:$B$501=A206)*(Versions!$M$2:$M$501="Yes")*ROW(Versions!$B$2:$B$501))))))</f>
        <v/>
      </c>
      <c r="R206" s="46" t="str">
        <f aca="false">IF(A206="","",COUNTIF(Comments!$B$2:$B$2001,A206))</f>
        <v/>
      </c>
      <c r="S206" s="46" t="str">
        <f aca="false">IF(A206="","",COUNTIFS(Comments!$B$2:$B$2001,A206,Comments!$N$2:$N$2001,"Open"))</f>
        <v/>
      </c>
      <c r="T206" s="46" t="str">
        <f aca="false">IF(A206="","",COUNTIFS('Deferred edits'!$C$2:$C$201,A206,'Deferred edits'!$G$2:$G$201,"Waiting"))</f>
        <v/>
      </c>
      <c r="U206" s="46" t="str">
        <f aca="false">IF(A206="","",IF(AND(I206&lt;&gt;"",I206&lt;AsOfDate),"▲ Next date passed",IF(AND(I206&lt;&gt;"",I206&lt;=AsOfDate+7),"● Next date within 7 days",IF(AND(P206&lt;&gt;"",P206&lt;AsOfDate,N206&lt;&gt;"Complete"),"▲ Regulation past target",IF(S206&gt;0,"Open comments","")))))</f>
        <v/>
      </c>
      <c r="V206" s="46"/>
      <c r="W206" s="46"/>
      <c r="X206" s="46"/>
    </row>
    <row r="207" customFormat="false" ht="15" hidden="false" customHeight="false" outlineLevel="0" collapsed="false">
      <c r="A207" s="46"/>
      <c r="B207" s="46"/>
      <c r="C207" s="46"/>
      <c r="D207" s="46"/>
      <c r="E207" s="46"/>
      <c r="F207" s="46"/>
      <c r="G207" s="46"/>
      <c r="H207" s="46"/>
      <c r="I207" s="46"/>
      <c r="J207" s="46"/>
      <c r="K207" s="48" t="str">
        <f aca="false">IF(W207="","",HYPERLINK(W207,"Simbli"))</f>
        <v/>
      </c>
      <c r="L207" s="48" t="str">
        <f aca="false">IF(X207="","",HYPERLINK(X207,"Simbli"))</f>
        <v/>
      </c>
      <c r="M207" s="46"/>
      <c r="N207" s="46"/>
      <c r="O207" s="46"/>
      <c r="P207" s="46" t="str">
        <f aca="false">IF(OR(A207="",O207=""),"",O207+RegDays)</f>
        <v/>
      </c>
      <c r="Q207" s="46" t="str">
        <f aca="false">IF(A207="","",IF(SUMPRODUCT(MAX((Versions!$B$2:$B$501=A207)*(Versions!$M$2:$M$501="Yes")*ROW(Versions!$B$2:$B$501)))=0,"",INDEX(Versions!$A$1:$A$501,SUMPRODUCT(MAX((Versions!$B$2:$B$501=A207)*(Versions!$M$2:$M$501="Yes")*ROW(Versions!$B$2:$B$501))))))</f>
        <v/>
      </c>
      <c r="R207" s="46" t="str">
        <f aca="false">IF(A207="","",COUNTIF(Comments!$B$2:$B$2001,A207))</f>
        <v/>
      </c>
      <c r="S207" s="46" t="str">
        <f aca="false">IF(A207="","",COUNTIFS(Comments!$B$2:$B$2001,A207,Comments!$N$2:$N$2001,"Open"))</f>
        <v/>
      </c>
      <c r="T207" s="46" t="str">
        <f aca="false">IF(A207="","",COUNTIFS('Deferred edits'!$C$2:$C$201,A207,'Deferred edits'!$G$2:$G$201,"Waiting"))</f>
        <v/>
      </c>
      <c r="U207" s="46" t="str">
        <f aca="false">IF(A207="","",IF(AND(I207&lt;&gt;"",I207&lt;AsOfDate),"▲ Next date passed",IF(AND(I207&lt;&gt;"",I207&lt;=AsOfDate+7),"● Next date within 7 days",IF(AND(P207&lt;&gt;"",P207&lt;AsOfDate,N207&lt;&gt;"Complete"),"▲ Regulation past target",IF(S207&gt;0,"Open comments","")))))</f>
        <v/>
      </c>
      <c r="V207" s="46"/>
      <c r="W207" s="46"/>
      <c r="X207" s="46"/>
    </row>
    <row r="208" customFormat="false" ht="15" hidden="false" customHeight="false" outlineLevel="0" collapsed="false">
      <c r="A208" s="46"/>
      <c r="B208" s="46"/>
      <c r="C208" s="46"/>
      <c r="D208" s="46"/>
      <c r="E208" s="46"/>
      <c r="F208" s="46"/>
      <c r="G208" s="46"/>
      <c r="H208" s="46"/>
      <c r="I208" s="46"/>
      <c r="J208" s="46"/>
      <c r="K208" s="48" t="str">
        <f aca="false">IF(W208="","",HYPERLINK(W208,"Simbli"))</f>
        <v/>
      </c>
      <c r="L208" s="48" t="str">
        <f aca="false">IF(X208="","",HYPERLINK(X208,"Simbli"))</f>
        <v/>
      </c>
      <c r="M208" s="46"/>
      <c r="N208" s="46"/>
      <c r="O208" s="46"/>
      <c r="P208" s="46" t="str">
        <f aca="false">IF(OR(A208="",O208=""),"",O208+RegDays)</f>
        <v/>
      </c>
      <c r="Q208" s="46" t="str">
        <f aca="false">IF(A208="","",IF(SUMPRODUCT(MAX((Versions!$B$2:$B$501=A208)*(Versions!$M$2:$M$501="Yes")*ROW(Versions!$B$2:$B$501)))=0,"",INDEX(Versions!$A$1:$A$501,SUMPRODUCT(MAX((Versions!$B$2:$B$501=A208)*(Versions!$M$2:$M$501="Yes")*ROW(Versions!$B$2:$B$501))))))</f>
        <v/>
      </c>
      <c r="R208" s="46" t="str">
        <f aca="false">IF(A208="","",COUNTIF(Comments!$B$2:$B$2001,A208))</f>
        <v/>
      </c>
      <c r="S208" s="46" t="str">
        <f aca="false">IF(A208="","",COUNTIFS(Comments!$B$2:$B$2001,A208,Comments!$N$2:$N$2001,"Open"))</f>
        <v/>
      </c>
      <c r="T208" s="46" t="str">
        <f aca="false">IF(A208="","",COUNTIFS('Deferred edits'!$C$2:$C$201,A208,'Deferred edits'!$G$2:$G$201,"Waiting"))</f>
        <v/>
      </c>
      <c r="U208" s="46" t="str">
        <f aca="false">IF(A208="","",IF(AND(I208&lt;&gt;"",I208&lt;AsOfDate),"▲ Next date passed",IF(AND(I208&lt;&gt;"",I208&lt;=AsOfDate+7),"● Next date within 7 days",IF(AND(P208&lt;&gt;"",P208&lt;AsOfDate,N208&lt;&gt;"Complete"),"▲ Regulation past target",IF(S208&gt;0,"Open comments","")))))</f>
        <v/>
      </c>
      <c r="V208" s="46"/>
      <c r="W208" s="46"/>
      <c r="X208" s="46"/>
    </row>
    <row r="209" customFormat="false" ht="15" hidden="false" customHeight="false" outlineLevel="0" collapsed="false">
      <c r="A209" s="46"/>
      <c r="B209" s="46"/>
      <c r="C209" s="46"/>
      <c r="D209" s="46"/>
      <c r="E209" s="46"/>
      <c r="F209" s="46"/>
      <c r="G209" s="46"/>
      <c r="H209" s="46"/>
      <c r="I209" s="46"/>
      <c r="J209" s="46"/>
      <c r="K209" s="48" t="str">
        <f aca="false">IF(W209="","",HYPERLINK(W209,"Simbli"))</f>
        <v/>
      </c>
      <c r="L209" s="48" t="str">
        <f aca="false">IF(X209="","",HYPERLINK(X209,"Simbli"))</f>
        <v/>
      </c>
      <c r="M209" s="46"/>
      <c r="N209" s="46"/>
      <c r="O209" s="46"/>
      <c r="P209" s="46" t="str">
        <f aca="false">IF(OR(A209="",O209=""),"",O209+RegDays)</f>
        <v/>
      </c>
      <c r="Q209" s="46" t="str">
        <f aca="false">IF(A209="","",IF(SUMPRODUCT(MAX((Versions!$B$2:$B$501=A209)*(Versions!$M$2:$M$501="Yes")*ROW(Versions!$B$2:$B$501)))=0,"",INDEX(Versions!$A$1:$A$501,SUMPRODUCT(MAX((Versions!$B$2:$B$501=A209)*(Versions!$M$2:$M$501="Yes")*ROW(Versions!$B$2:$B$501))))))</f>
        <v/>
      </c>
      <c r="R209" s="46" t="str">
        <f aca="false">IF(A209="","",COUNTIF(Comments!$B$2:$B$2001,A209))</f>
        <v/>
      </c>
      <c r="S209" s="46" t="str">
        <f aca="false">IF(A209="","",COUNTIFS(Comments!$B$2:$B$2001,A209,Comments!$N$2:$N$2001,"Open"))</f>
        <v/>
      </c>
      <c r="T209" s="46" t="str">
        <f aca="false">IF(A209="","",COUNTIFS('Deferred edits'!$C$2:$C$201,A209,'Deferred edits'!$G$2:$G$201,"Waiting"))</f>
        <v/>
      </c>
      <c r="U209" s="46" t="str">
        <f aca="false">IF(A209="","",IF(AND(I209&lt;&gt;"",I209&lt;AsOfDate),"▲ Next date passed",IF(AND(I209&lt;&gt;"",I209&lt;=AsOfDate+7),"● Next date within 7 days",IF(AND(P209&lt;&gt;"",P209&lt;AsOfDate,N209&lt;&gt;"Complete"),"▲ Regulation past target",IF(S209&gt;0,"Open comments","")))))</f>
        <v/>
      </c>
      <c r="V209" s="46"/>
      <c r="W209" s="46"/>
      <c r="X209" s="46"/>
    </row>
    <row r="210" customFormat="false" ht="15" hidden="false" customHeight="false" outlineLevel="0" collapsed="false">
      <c r="A210" s="46"/>
      <c r="B210" s="46"/>
      <c r="C210" s="46"/>
      <c r="D210" s="46"/>
      <c r="E210" s="46"/>
      <c r="F210" s="46"/>
      <c r="G210" s="46"/>
      <c r="H210" s="46"/>
      <c r="I210" s="46"/>
      <c r="J210" s="46"/>
      <c r="K210" s="48" t="str">
        <f aca="false">IF(W210="","",HYPERLINK(W210,"Simbli"))</f>
        <v/>
      </c>
      <c r="L210" s="48" t="str">
        <f aca="false">IF(X210="","",HYPERLINK(X210,"Simbli"))</f>
        <v/>
      </c>
      <c r="M210" s="46"/>
      <c r="N210" s="46"/>
      <c r="O210" s="46"/>
      <c r="P210" s="46" t="str">
        <f aca="false">IF(OR(A210="",O210=""),"",O210+RegDays)</f>
        <v/>
      </c>
      <c r="Q210" s="46" t="str">
        <f aca="false">IF(A210="","",IF(SUMPRODUCT(MAX((Versions!$B$2:$B$501=A210)*(Versions!$M$2:$M$501="Yes")*ROW(Versions!$B$2:$B$501)))=0,"",INDEX(Versions!$A$1:$A$501,SUMPRODUCT(MAX((Versions!$B$2:$B$501=A210)*(Versions!$M$2:$M$501="Yes")*ROW(Versions!$B$2:$B$501))))))</f>
        <v/>
      </c>
      <c r="R210" s="46" t="str">
        <f aca="false">IF(A210="","",COUNTIF(Comments!$B$2:$B$2001,A210))</f>
        <v/>
      </c>
      <c r="S210" s="46" t="str">
        <f aca="false">IF(A210="","",COUNTIFS(Comments!$B$2:$B$2001,A210,Comments!$N$2:$N$2001,"Open"))</f>
        <v/>
      </c>
      <c r="T210" s="46" t="str">
        <f aca="false">IF(A210="","",COUNTIFS('Deferred edits'!$C$2:$C$201,A210,'Deferred edits'!$G$2:$G$201,"Waiting"))</f>
        <v/>
      </c>
      <c r="U210" s="46" t="str">
        <f aca="false">IF(A210="","",IF(AND(I210&lt;&gt;"",I210&lt;AsOfDate),"▲ Next date passed",IF(AND(I210&lt;&gt;"",I210&lt;=AsOfDate+7),"● Next date within 7 days",IF(AND(P210&lt;&gt;"",P210&lt;AsOfDate,N210&lt;&gt;"Complete"),"▲ Regulation past target",IF(S210&gt;0,"Open comments","")))))</f>
        <v/>
      </c>
      <c r="V210" s="46"/>
      <c r="W210" s="46"/>
      <c r="X210" s="46"/>
    </row>
    <row r="211" customFormat="false" ht="15" hidden="false" customHeight="false" outlineLevel="0" collapsed="false">
      <c r="A211" s="46"/>
      <c r="B211" s="46"/>
      <c r="C211" s="46"/>
      <c r="D211" s="46"/>
      <c r="E211" s="46"/>
      <c r="F211" s="46"/>
      <c r="G211" s="46"/>
      <c r="H211" s="46"/>
      <c r="I211" s="46"/>
      <c r="J211" s="46"/>
      <c r="K211" s="48" t="str">
        <f aca="false">IF(W211="","",HYPERLINK(W211,"Simbli"))</f>
        <v/>
      </c>
      <c r="L211" s="48" t="str">
        <f aca="false">IF(X211="","",HYPERLINK(X211,"Simbli"))</f>
        <v/>
      </c>
      <c r="M211" s="46"/>
      <c r="N211" s="46"/>
      <c r="O211" s="46"/>
      <c r="P211" s="46" t="str">
        <f aca="false">IF(OR(A211="",O211=""),"",O211+RegDays)</f>
        <v/>
      </c>
      <c r="Q211" s="46" t="str">
        <f aca="false">IF(A211="","",IF(SUMPRODUCT(MAX((Versions!$B$2:$B$501=A211)*(Versions!$M$2:$M$501="Yes")*ROW(Versions!$B$2:$B$501)))=0,"",INDEX(Versions!$A$1:$A$501,SUMPRODUCT(MAX((Versions!$B$2:$B$501=A211)*(Versions!$M$2:$M$501="Yes")*ROW(Versions!$B$2:$B$501))))))</f>
        <v/>
      </c>
      <c r="R211" s="46" t="str">
        <f aca="false">IF(A211="","",COUNTIF(Comments!$B$2:$B$2001,A211))</f>
        <v/>
      </c>
      <c r="S211" s="46" t="str">
        <f aca="false">IF(A211="","",COUNTIFS(Comments!$B$2:$B$2001,A211,Comments!$N$2:$N$2001,"Open"))</f>
        <v/>
      </c>
      <c r="T211" s="46" t="str">
        <f aca="false">IF(A211="","",COUNTIFS('Deferred edits'!$C$2:$C$201,A211,'Deferred edits'!$G$2:$G$201,"Waiting"))</f>
        <v/>
      </c>
      <c r="U211" s="46" t="str">
        <f aca="false">IF(A211="","",IF(AND(I211&lt;&gt;"",I211&lt;AsOfDate),"▲ Next date passed",IF(AND(I211&lt;&gt;"",I211&lt;=AsOfDate+7),"● Next date within 7 days",IF(AND(P211&lt;&gt;"",P211&lt;AsOfDate,N211&lt;&gt;"Complete"),"▲ Regulation past target",IF(S211&gt;0,"Open comments","")))))</f>
        <v/>
      </c>
      <c r="V211" s="46"/>
      <c r="W211" s="46"/>
      <c r="X211" s="46"/>
    </row>
    <row r="212" customFormat="false" ht="15" hidden="false" customHeight="false" outlineLevel="0" collapsed="false">
      <c r="A212" s="46"/>
      <c r="B212" s="46"/>
      <c r="C212" s="46"/>
      <c r="D212" s="46"/>
      <c r="E212" s="46"/>
      <c r="F212" s="46"/>
      <c r="G212" s="46"/>
      <c r="H212" s="46"/>
      <c r="I212" s="46"/>
      <c r="J212" s="46"/>
      <c r="K212" s="48" t="str">
        <f aca="false">IF(W212="","",HYPERLINK(W212,"Simbli"))</f>
        <v/>
      </c>
      <c r="L212" s="48" t="str">
        <f aca="false">IF(X212="","",HYPERLINK(X212,"Simbli"))</f>
        <v/>
      </c>
      <c r="M212" s="46"/>
      <c r="N212" s="46"/>
      <c r="O212" s="46"/>
      <c r="P212" s="46" t="str">
        <f aca="false">IF(OR(A212="",O212=""),"",O212+RegDays)</f>
        <v/>
      </c>
      <c r="Q212" s="46" t="str">
        <f aca="false">IF(A212="","",IF(SUMPRODUCT(MAX((Versions!$B$2:$B$501=A212)*(Versions!$M$2:$M$501="Yes")*ROW(Versions!$B$2:$B$501)))=0,"",INDEX(Versions!$A$1:$A$501,SUMPRODUCT(MAX((Versions!$B$2:$B$501=A212)*(Versions!$M$2:$M$501="Yes")*ROW(Versions!$B$2:$B$501))))))</f>
        <v/>
      </c>
      <c r="R212" s="46" t="str">
        <f aca="false">IF(A212="","",COUNTIF(Comments!$B$2:$B$2001,A212))</f>
        <v/>
      </c>
      <c r="S212" s="46" t="str">
        <f aca="false">IF(A212="","",COUNTIFS(Comments!$B$2:$B$2001,A212,Comments!$N$2:$N$2001,"Open"))</f>
        <v/>
      </c>
      <c r="T212" s="46" t="str">
        <f aca="false">IF(A212="","",COUNTIFS('Deferred edits'!$C$2:$C$201,A212,'Deferred edits'!$G$2:$G$201,"Waiting"))</f>
        <v/>
      </c>
      <c r="U212" s="46" t="str">
        <f aca="false">IF(A212="","",IF(AND(I212&lt;&gt;"",I212&lt;AsOfDate),"▲ Next date passed",IF(AND(I212&lt;&gt;"",I212&lt;=AsOfDate+7),"● Next date within 7 days",IF(AND(P212&lt;&gt;"",P212&lt;AsOfDate,N212&lt;&gt;"Complete"),"▲ Regulation past target",IF(S212&gt;0,"Open comments","")))))</f>
        <v/>
      </c>
      <c r="V212" s="46"/>
      <c r="W212" s="46"/>
      <c r="X212" s="46"/>
    </row>
    <row r="213" customFormat="false" ht="15" hidden="false" customHeight="false" outlineLevel="0" collapsed="false">
      <c r="A213" s="46"/>
      <c r="B213" s="46"/>
      <c r="C213" s="46"/>
      <c r="D213" s="46"/>
      <c r="E213" s="46"/>
      <c r="F213" s="46"/>
      <c r="G213" s="46"/>
      <c r="H213" s="46"/>
      <c r="I213" s="46"/>
      <c r="J213" s="46"/>
      <c r="K213" s="48" t="str">
        <f aca="false">IF(W213="","",HYPERLINK(W213,"Simbli"))</f>
        <v/>
      </c>
      <c r="L213" s="48" t="str">
        <f aca="false">IF(X213="","",HYPERLINK(X213,"Simbli"))</f>
        <v/>
      </c>
      <c r="M213" s="46"/>
      <c r="N213" s="46"/>
      <c r="O213" s="46"/>
      <c r="P213" s="46" t="str">
        <f aca="false">IF(OR(A213="",O213=""),"",O213+RegDays)</f>
        <v/>
      </c>
      <c r="Q213" s="46" t="str">
        <f aca="false">IF(A213="","",IF(SUMPRODUCT(MAX((Versions!$B$2:$B$501=A213)*(Versions!$M$2:$M$501="Yes")*ROW(Versions!$B$2:$B$501)))=0,"",INDEX(Versions!$A$1:$A$501,SUMPRODUCT(MAX((Versions!$B$2:$B$501=A213)*(Versions!$M$2:$M$501="Yes")*ROW(Versions!$B$2:$B$501))))))</f>
        <v/>
      </c>
      <c r="R213" s="46" t="str">
        <f aca="false">IF(A213="","",COUNTIF(Comments!$B$2:$B$2001,A213))</f>
        <v/>
      </c>
      <c r="S213" s="46" t="str">
        <f aca="false">IF(A213="","",COUNTIFS(Comments!$B$2:$B$2001,A213,Comments!$N$2:$N$2001,"Open"))</f>
        <v/>
      </c>
      <c r="T213" s="46" t="str">
        <f aca="false">IF(A213="","",COUNTIFS('Deferred edits'!$C$2:$C$201,A213,'Deferred edits'!$G$2:$G$201,"Waiting"))</f>
        <v/>
      </c>
      <c r="U213" s="46" t="str">
        <f aca="false">IF(A213="","",IF(AND(I213&lt;&gt;"",I213&lt;AsOfDate),"▲ Next date passed",IF(AND(I213&lt;&gt;"",I213&lt;=AsOfDate+7),"● Next date within 7 days",IF(AND(P213&lt;&gt;"",P213&lt;AsOfDate,N213&lt;&gt;"Complete"),"▲ Regulation past target",IF(S213&gt;0,"Open comments","")))))</f>
        <v/>
      </c>
      <c r="V213" s="46"/>
      <c r="W213" s="46"/>
      <c r="X213" s="46"/>
    </row>
    <row r="214" customFormat="false" ht="15" hidden="false" customHeight="false" outlineLevel="0" collapsed="false">
      <c r="A214" s="46"/>
      <c r="B214" s="46"/>
      <c r="C214" s="46"/>
      <c r="D214" s="46"/>
      <c r="E214" s="46"/>
      <c r="F214" s="46"/>
      <c r="G214" s="46"/>
      <c r="H214" s="46"/>
      <c r="I214" s="46"/>
      <c r="J214" s="46"/>
      <c r="K214" s="48" t="str">
        <f aca="false">IF(W214="","",HYPERLINK(W214,"Simbli"))</f>
        <v/>
      </c>
      <c r="L214" s="48" t="str">
        <f aca="false">IF(X214="","",HYPERLINK(X214,"Simbli"))</f>
        <v/>
      </c>
      <c r="M214" s="46"/>
      <c r="N214" s="46"/>
      <c r="O214" s="46"/>
      <c r="P214" s="46" t="str">
        <f aca="false">IF(OR(A214="",O214=""),"",O214+RegDays)</f>
        <v/>
      </c>
      <c r="Q214" s="46" t="str">
        <f aca="false">IF(A214="","",IF(SUMPRODUCT(MAX((Versions!$B$2:$B$501=A214)*(Versions!$M$2:$M$501="Yes")*ROW(Versions!$B$2:$B$501)))=0,"",INDEX(Versions!$A$1:$A$501,SUMPRODUCT(MAX((Versions!$B$2:$B$501=A214)*(Versions!$M$2:$M$501="Yes")*ROW(Versions!$B$2:$B$501))))))</f>
        <v/>
      </c>
      <c r="R214" s="46" t="str">
        <f aca="false">IF(A214="","",COUNTIF(Comments!$B$2:$B$2001,A214))</f>
        <v/>
      </c>
      <c r="S214" s="46" t="str">
        <f aca="false">IF(A214="","",COUNTIFS(Comments!$B$2:$B$2001,A214,Comments!$N$2:$N$2001,"Open"))</f>
        <v/>
      </c>
      <c r="T214" s="46" t="str">
        <f aca="false">IF(A214="","",COUNTIFS('Deferred edits'!$C$2:$C$201,A214,'Deferred edits'!$G$2:$G$201,"Waiting"))</f>
        <v/>
      </c>
      <c r="U214" s="46" t="str">
        <f aca="false">IF(A214="","",IF(AND(I214&lt;&gt;"",I214&lt;AsOfDate),"▲ Next date passed",IF(AND(I214&lt;&gt;"",I214&lt;=AsOfDate+7),"● Next date within 7 days",IF(AND(P214&lt;&gt;"",P214&lt;AsOfDate,N214&lt;&gt;"Complete"),"▲ Regulation past target",IF(S214&gt;0,"Open comments","")))))</f>
        <v/>
      </c>
      <c r="V214" s="46"/>
      <c r="W214" s="46"/>
      <c r="X214" s="46"/>
    </row>
    <row r="215" customFormat="false" ht="15" hidden="false" customHeight="false" outlineLevel="0" collapsed="false">
      <c r="A215" s="46"/>
      <c r="B215" s="46"/>
      <c r="C215" s="46"/>
      <c r="D215" s="46"/>
      <c r="E215" s="46"/>
      <c r="F215" s="46"/>
      <c r="G215" s="46"/>
      <c r="H215" s="46"/>
      <c r="I215" s="46"/>
      <c r="J215" s="46"/>
      <c r="K215" s="48" t="str">
        <f aca="false">IF(W215="","",HYPERLINK(W215,"Simbli"))</f>
        <v/>
      </c>
      <c r="L215" s="48" t="str">
        <f aca="false">IF(X215="","",HYPERLINK(X215,"Simbli"))</f>
        <v/>
      </c>
      <c r="M215" s="46"/>
      <c r="N215" s="46"/>
      <c r="O215" s="46"/>
      <c r="P215" s="46" t="str">
        <f aca="false">IF(OR(A215="",O215=""),"",O215+RegDays)</f>
        <v/>
      </c>
      <c r="Q215" s="46" t="str">
        <f aca="false">IF(A215="","",IF(SUMPRODUCT(MAX((Versions!$B$2:$B$501=A215)*(Versions!$M$2:$M$501="Yes")*ROW(Versions!$B$2:$B$501)))=0,"",INDEX(Versions!$A$1:$A$501,SUMPRODUCT(MAX((Versions!$B$2:$B$501=A215)*(Versions!$M$2:$M$501="Yes")*ROW(Versions!$B$2:$B$501))))))</f>
        <v/>
      </c>
      <c r="R215" s="46" t="str">
        <f aca="false">IF(A215="","",COUNTIF(Comments!$B$2:$B$2001,A215))</f>
        <v/>
      </c>
      <c r="S215" s="46" t="str">
        <f aca="false">IF(A215="","",COUNTIFS(Comments!$B$2:$B$2001,A215,Comments!$N$2:$N$2001,"Open"))</f>
        <v/>
      </c>
      <c r="T215" s="46" t="str">
        <f aca="false">IF(A215="","",COUNTIFS('Deferred edits'!$C$2:$C$201,A215,'Deferred edits'!$G$2:$G$201,"Waiting"))</f>
        <v/>
      </c>
      <c r="U215" s="46" t="str">
        <f aca="false">IF(A215="","",IF(AND(I215&lt;&gt;"",I215&lt;AsOfDate),"▲ Next date passed",IF(AND(I215&lt;&gt;"",I215&lt;=AsOfDate+7),"● Next date within 7 days",IF(AND(P215&lt;&gt;"",P215&lt;AsOfDate,N215&lt;&gt;"Complete"),"▲ Regulation past target",IF(S215&gt;0,"Open comments","")))))</f>
        <v/>
      </c>
      <c r="V215" s="46"/>
      <c r="W215" s="46"/>
      <c r="X215" s="46"/>
    </row>
    <row r="216" customFormat="false" ht="15" hidden="false" customHeight="false" outlineLevel="0" collapsed="false">
      <c r="A216" s="46"/>
      <c r="B216" s="46"/>
      <c r="C216" s="46"/>
      <c r="D216" s="46"/>
      <c r="E216" s="46"/>
      <c r="F216" s="46"/>
      <c r="G216" s="46"/>
      <c r="H216" s="46"/>
      <c r="I216" s="46"/>
      <c r="J216" s="46"/>
      <c r="K216" s="48" t="str">
        <f aca="false">IF(W216="","",HYPERLINK(W216,"Simbli"))</f>
        <v/>
      </c>
      <c r="L216" s="48" t="str">
        <f aca="false">IF(X216="","",HYPERLINK(X216,"Simbli"))</f>
        <v/>
      </c>
      <c r="M216" s="46"/>
      <c r="N216" s="46"/>
      <c r="O216" s="46"/>
      <c r="P216" s="46" t="str">
        <f aca="false">IF(OR(A216="",O216=""),"",O216+RegDays)</f>
        <v/>
      </c>
      <c r="Q216" s="46" t="str">
        <f aca="false">IF(A216="","",IF(SUMPRODUCT(MAX((Versions!$B$2:$B$501=A216)*(Versions!$M$2:$M$501="Yes")*ROW(Versions!$B$2:$B$501)))=0,"",INDEX(Versions!$A$1:$A$501,SUMPRODUCT(MAX((Versions!$B$2:$B$501=A216)*(Versions!$M$2:$M$501="Yes")*ROW(Versions!$B$2:$B$501))))))</f>
        <v/>
      </c>
      <c r="R216" s="46" t="str">
        <f aca="false">IF(A216="","",COUNTIF(Comments!$B$2:$B$2001,A216))</f>
        <v/>
      </c>
      <c r="S216" s="46" t="str">
        <f aca="false">IF(A216="","",COUNTIFS(Comments!$B$2:$B$2001,A216,Comments!$N$2:$N$2001,"Open"))</f>
        <v/>
      </c>
      <c r="T216" s="46" t="str">
        <f aca="false">IF(A216="","",COUNTIFS('Deferred edits'!$C$2:$C$201,A216,'Deferred edits'!$G$2:$G$201,"Waiting"))</f>
        <v/>
      </c>
      <c r="U216" s="46" t="str">
        <f aca="false">IF(A216="","",IF(AND(I216&lt;&gt;"",I216&lt;AsOfDate),"▲ Next date passed",IF(AND(I216&lt;&gt;"",I216&lt;=AsOfDate+7),"● Next date within 7 days",IF(AND(P216&lt;&gt;"",P216&lt;AsOfDate,N216&lt;&gt;"Complete"),"▲ Regulation past target",IF(S216&gt;0,"Open comments","")))))</f>
        <v/>
      </c>
      <c r="V216" s="46"/>
      <c r="W216" s="46"/>
      <c r="X216" s="46"/>
    </row>
    <row r="217" customFormat="false" ht="15" hidden="false" customHeight="false" outlineLevel="0" collapsed="false">
      <c r="A217" s="46"/>
      <c r="B217" s="46"/>
      <c r="C217" s="46"/>
      <c r="D217" s="46"/>
      <c r="E217" s="46"/>
      <c r="F217" s="46"/>
      <c r="G217" s="46"/>
      <c r="H217" s="46"/>
      <c r="I217" s="46"/>
      <c r="J217" s="46"/>
      <c r="K217" s="48" t="str">
        <f aca="false">IF(W217="","",HYPERLINK(W217,"Simbli"))</f>
        <v/>
      </c>
      <c r="L217" s="48" t="str">
        <f aca="false">IF(X217="","",HYPERLINK(X217,"Simbli"))</f>
        <v/>
      </c>
      <c r="M217" s="46"/>
      <c r="N217" s="46"/>
      <c r="O217" s="46"/>
      <c r="P217" s="46" t="str">
        <f aca="false">IF(OR(A217="",O217=""),"",O217+RegDays)</f>
        <v/>
      </c>
      <c r="Q217" s="46" t="str">
        <f aca="false">IF(A217="","",IF(SUMPRODUCT(MAX((Versions!$B$2:$B$501=A217)*(Versions!$M$2:$M$501="Yes")*ROW(Versions!$B$2:$B$501)))=0,"",INDEX(Versions!$A$1:$A$501,SUMPRODUCT(MAX((Versions!$B$2:$B$501=A217)*(Versions!$M$2:$M$501="Yes")*ROW(Versions!$B$2:$B$501))))))</f>
        <v/>
      </c>
      <c r="R217" s="46" t="str">
        <f aca="false">IF(A217="","",COUNTIF(Comments!$B$2:$B$2001,A217))</f>
        <v/>
      </c>
      <c r="S217" s="46" t="str">
        <f aca="false">IF(A217="","",COUNTIFS(Comments!$B$2:$B$2001,A217,Comments!$N$2:$N$2001,"Open"))</f>
        <v/>
      </c>
      <c r="T217" s="46" t="str">
        <f aca="false">IF(A217="","",COUNTIFS('Deferred edits'!$C$2:$C$201,A217,'Deferred edits'!$G$2:$G$201,"Waiting"))</f>
        <v/>
      </c>
      <c r="U217" s="46" t="str">
        <f aca="false">IF(A217="","",IF(AND(I217&lt;&gt;"",I217&lt;AsOfDate),"▲ Next date passed",IF(AND(I217&lt;&gt;"",I217&lt;=AsOfDate+7),"● Next date within 7 days",IF(AND(P217&lt;&gt;"",P217&lt;AsOfDate,N217&lt;&gt;"Complete"),"▲ Regulation past target",IF(S217&gt;0,"Open comments","")))))</f>
        <v/>
      </c>
      <c r="V217" s="46"/>
      <c r="W217" s="46"/>
      <c r="X217" s="46"/>
    </row>
    <row r="218" customFormat="false" ht="15" hidden="false" customHeight="false" outlineLevel="0" collapsed="false">
      <c r="A218" s="46"/>
      <c r="B218" s="46"/>
      <c r="C218" s="46"/>
      <c r="D218" s="46"/>
      <c r="E218" s="46"/>
      <c r="F218" s="46"/>
      <c r="G218" s="46"/>
      <c r="H218" s="46"/>
      <c r="I218" s="46"/>
      <c r="J218" s="46"/>
      <c r="K218" s="48" t="str">
        <f aca="false">IF(W218="","",HYPERLINK(W218,"Simbli"))</f>
        <v/>
      </c>
      <c r="L218" s="48" t="str">
        <f aca="false">IF(X218="","",HYPERLINK(X218,"Simbli"))</f>
        <v/>
      </c>
      <c r="M218" s="46"/>
      <c r="N218" s="46"/>
      <c r="O218" s="46"/>
      <c r="P218" s="46" t="str">
        <f aca="false">IF(OR(A218="",O218=""),"",O218+RegDays)</f>
        <v/>
      </c>
      <c r="Q218" s="46" t="str">
        <f aca="false">IF(A218="","",IF(SUMPRODUCT(MAX((Versions!$B$2:$B$501=A218)*(Versions!$M$2:$M$501="Yes")*ROW(Versions!$B$2:$B$501)))=0,"",INDEX(Versions!$A$1:$A$501,SUMPRODUCT(MAX((Versions!$B$2:$B$501=A218)*(Versions!$M$2:$M$501="Yes")*ROW(Versions!$B$2:$B$501))))))</f>
        <v/>
      </c>
      <c r="R218" s="46" t="str">
        <f aca="false">IF(A218="","",COUNTIF(Comments!$B$2:$B$2001,A218))</f>
        <v/>
      </c>
      <c r="S218" s="46" t="str">
        <f aca="false">IF(A218="","",COUNTIFS(Comments!$B$2:$B$2001,A218,Comments!$N$2:$N$2001,"Open"))</f>
        <v/>
      </c>
      <c r="T218" s="46" t="str">
        <f aca="false">IF(A218="","",COUNTIFS('Deferred edits'!$C$2:$C$201,A218,'Deferred edits'!$G$2:$G$201,"Waiting"))</f>
        <v/>
      </c>
      <c r="U218" s="46" t="str">
        <f aca="false">IF(A218="","",IF(AND(I218&lt;&gt;"",I218&lt;AsOfDate),"▲ Next date passed",IF(AND(I218&lt;&gt;"",I218&lt;=AsOfDate+7),"● Next date within 7 days",IF(AND(P218&lt;&gt;"",P218&lt;AsOfDate,N218&lt;&gt;"Complete"),"▲ Regulation past target",IF(S218&gt;0,"Open comments","")))))</f>
        <v/>
      </c>
      <c r="V218" s="46"/>
      <c r="W218" s="46"/>
      <c r="X218" s="46"/>
    </row>
    <row r="219" customFormat="false" ht="15" hidden="false" customHeight="false" outlineLevel="0" collapsed="false">
      <c r="A219" s="46"/>
      <c r="B219" s="46"/>
      <c r="C219" s="46"/>
      <c r="D219" s="46"/>
      <c r="E219" s="46"/>
      <c r="F219" s="46"/>
      <c r="G219" s="46"/>
      <c r="H219" s="46"/>
      <c r="I219" s="46"/>
      <c r="J219" s="46"/>
      <c r="K219" s="48" t="str">
        <f aca="false">IF(W219="","",HYPERLINK(W219,"Simbli"))</f>
        <v/>
      </c>
      <c r="L219" s="48" t="str">
        <f aca="false">IF(X219="","",HYPERLINK(X219,"Simbli"))</f>
        <v/>
      </c>
      <c r="M219" s="46"/>
      <c r="N219" s="46"/>
      <c r="O219" s="46"/>
      <c r="P219" s="46" t="str">
        <f aca="false">IF(OR(A219="",O219=""),"",O219+RegDays)</f>
        <v/>
      </c>
      <c r="Q219" s="46" t="str">
        <f aca="false">IF(A219="","",IF(SUMPRODUCT(MAX((Versions!$B$2:$B$501=A219)*(Versions!$M$2:$M$501="Yes")*ROW(Versions!$B$2:$B$501)))=0,"",INDEX(Versions!$A$1:$A$501,SUMPRODUCT(MAX((Versions!$B$2:$B$501=A219)*(Versions!$M$2:$M$501="Yes")*ROW(Versions!$B$2:$B$501))))))</f>
        <v/>
      </c>
      <c r="R219" s="46" t="str">
        <f aca="false">IF(A219="","",COUNTIF(Comments!$B$2:$B$2001,A219))</f>
        <v/>
      </c>
      <c r="S219" s="46" t="str">
        <f aca="false">IF(A219="","",COUNTIFS(Comments!$B$2:$B$2001,A219,Comments!$N$2:$N$2001,"Open"))</f>
        <v/>
      </c>
      <c r="T219" s="46" t="str">
        <f aca="false">IF(A219="","",COUNTIFS('Deferred edits'!$C$2:$C$201,A219,'Deferred edits'!$G$2:$G$201,"Waiting"))</f>
        <v/>
      </c>
      <c r="U219" s="46" t="str">
        <f aca="false">IF(A219="","",IF(AND(I219&lt;&gt;"",I219&lt;AsOfDate),"▲ Next date passed",IF(AND(I219&lt;&gt;"",I219&lt;=AsOfDate+7),"● Next date within 7 days",IF(AND(P219&lt;&gt;"",P219&lt;AsOfDate,N219&lt;&gt;"Complete"),"▲ Regulation past target",IF(S219&gt;0,"Open comments","")))))</f>
        <v/>
      </c>
      <c r="V219" s="46"/>
      <c r="W219" s="46"/>
      <c r="X219" s="46"/>
    </row>
    <row r="220" customFormat="false" ht="15" hidden="false" customHeight="false" outlineLevel="0" collapsed="false">
      <c r="A220" s="46"/>
      <c r="B220" s="46"/>
      <c r="C220" s="46"/>
      <c r="D220" s="46"/>
      <c r="E220" s="46"/>
      <c r="F220" s="46"/>
      <c r="G220" s="46"/>
      <c r="H220" s="46"/>
      <c r="I220" s="46"/>
      <c r="J220" s="46"/>
      <c r="K220" s="48" t="str">
        <f aca="false">IF(W220="","",HYPERLINK(W220,"Simbli"))</f>
        <v/>
      </c>
      <c r="L220" s="48" t="str">
        <f aca="false">IF(X220="","",HYPERLINK(X220,"Simbli"))</f>
        <v/>
      </c>
      <c r="M220" s="46"/>
      <c r="N220" s="46"/>
      <c r="O220" s="46"/>
      <c r="P220" s="46" t="str">
        <f aca="false">IF(OR(A220="",O220=""),"",O220+RegDays)</f>
        <v/>
      </c>
      <c r="Q220" s="46" t="str">
        <f aca="false">IF(A220="","",IF(SUMPRODUCT(MAX((Versions!$B$2:$B$501=A220)*(Versions!$M$2:$M$501="Yes")*ROW(Versions!$B$2:$B$501)))=0,"",INDEX(Versions!$A$1:$A$501,SUMPRODUCT(MAX((Versions!$B$2:$B$501=A220)*(Versions!$M$2:$M$501="Yes")*ROW(Versions!$B$2:$B$501))))))</f>
        <v/>
      </c>
      <c r="R220" s="46" t="str">
        <f aca="false">IF(A220="","",COUNTIF(Comments!$B$2:$B$2001,A220))</f>
        <v/>
      </c>
      <c r="S220" s="46" t="str">
        <f aca="false">IF(A220="","",COUNTIFS(Comments!$B$2:$B$2001,A220,Comments!$N$2:$N$2001,"Open"))</f>
        <v/>
      </c>
      <c r="T220" s="46" t="str">
        <f aca="false">IF(A220="","",COUNTIFS('Deferred edits'!$C$2:$C$201,A220,'Deferred edits'!$G$2:$G$201,"Waiting"))</f>
        <v/>
      </c>
      <c r="U220" s="46" t="str">
        <f aca="false">IF(A220="","",IF(AND(I220&lt;&gt;"",I220&lt;AsOfDate),"▲ Next date passed",IF(AND(I220&lt;&gt;"",I220&lt;=AsOfDate+7),"● Next date within 7 days",IF(AND(P220&lt;&gt;"",P220&lt;AsOfDate,N220&lt;&gt;"Complete"),"▲ Regulation past target",IF(S220&gt;0,"Open comments","")))))</f>
        <v/>
      </c>
      <c r="V220" s="46"/>
      <c r="W220" s="46"/>
      <c r="X220" s="46"/>
    </row>
    <row r="221" customFormat="false" ht="15" hidden="false" customHeight="false" outlineLevel="0" collapsed="false">
      <c r="A221" s="46"/>
      <c r="B221" s="46"/>
      <c r="C221" s="46"/>
      <c r="D221" s="46"/>
      <c r="E221" s="46"/>
      <c r="F221" s="46"/>
      <c r="G221" s="46"/>
      <c r="H221" s="46"/>
      <c r="I221" s="46"/>
      <c r="J221" s="46"/>
      <c r="K221" s="48" t="str">
        <f aca="false">IF(W221="","",HYPERLINK(W221,"Simbli"))</f>
        <v/>
      </c>
      <c r="L221" s="48" t="str">
        <f aca="false">IF(X221="","",HYPERLINK(X221,"Simbli"))</f>
        <v/>
      </c>
      <c r="M221" s="46"/>
      <c r="N221" s="46"/>
      <c r="O221" s="46"/>
      <c r="P221" s="46" t="str">
        <f aca="false">IF(OR(A221="",O221=""),"",O221+RegDays)</f>
        <v/>
      </c>
      <c r="Q221" s="46" t="str">
        <f aca="false">IF(A221="","",IF(SUMPRODUCT(MAX((Versions!$B$2:$B$501=A221)*(Versions!$M$2:$M$501="Yes")*ROW(Versions!$B$2:$B$501)))=0,"",INDEX(Versions!$A$1:$A$501,SUMPRODUCT(MAX((Versions!$B$2:$B$501=A221)*(Versions!$M$2:$M$501="Yes")*ROW(Versions!$B$2:$B$501))))))</f>
        <v/>
      </c>
      <c r="R221" s="46" t="str">
        <f aca="false">IF(A221="","",COUNTIF(Comments!$B$2:$B$2001,A221))</f>
        <v/>
      </c>
      <c r="S221" s="46" t="str">
        <f aca="false">IF(A221="","",COUNTIFS(Comments!$B$2:$B$2001,A221,Comments!$N$2:$N$2001,"Open"))</f>
        <v/>
      </c>
      <c r="T221" s="46" t="str">
        <f aca="false">IF(A221="","",COUNTIFS('Deferred edits'!$C$2:$C$201,A221,'Deferred edits'!$G$2:$G$201,"Waiting"))</f>
        <v/>
      </c>
      <c r="U221" s="46" t="str">
        <f aca="false">IF(A221="","",IF(AND(I221&lt;&gt;"",I221&lt;AsOfDate),"▲ Next date passed",IF(AND(I221&lt;&gt;"",I221&lt;=AsOfDate+7),"● Next date within 7 days",IF(AND(P221&lt;&gt;"",P221&lt;AsOfDate,N221&lt;&gt;"Complete"),"▲ Regulation past target",IF(S221&gt;0,"Open comments","")))))</f>
        <v/>
      </c>
      <c r="V221" s="46"/>
      <c r="W221" s="46"/>
      <c r="X221" s="46"/>
    </row>
    <row r="222" customFormat="false" ht="15" hidden="false" customHeight="false" outlineLevel="0" collapsed="false">
      <c r="A222" s="46"/>
      <c r="B222" s="46"/>
      <c r="C222" s="46"/>
      <c r="D222" s="46"/>
      <c r="E222" s="46"/>
      <c r="F222" s="46"/>
      <c r="G222" s="46"/>
      <c r="H222" s="46"/>
      <c r="I222" s="46"/>
      <c r="J222" s="46"/>
      <c r="K222" s="48" t="str">
        <f aca="false">IF(W222="","",HYPERLINK(W222,"Simbli"))</f>
        <v/>
      </c>
      <c r="L222" s="48" t="str">
        <f aca="false">IF(X222="","",HYPERLINK(X222,"Simbli"))</f>
        <v/>
      </c>
      <c r="M222" s="46"/>
      <c r="N222" s="46"/>
      <c r="O222" s="46"/>
      <c r="P222" s="46" t="str">
        <f aca="false">IF(OR(A222="",O222=""),"",O222+RegDays)</f>
        <v/>
      </c>
      <c r="Q222" s="46" t="str">
        <f aca="false">IF(A222="","",IF(SUMPRODUCT(MAX((Versions!$B$2:$B$501=A222)*(Versions!$M$2:$M$501="Yes")*ROW(Versions!$B$2:$B$501)))=0,"",INDEX(Versions!$A$1:$A$501,SUMPRODUCT(MAX((Versions!$B$2:$B$501=A222)*(Versions!$M$2:$M$501="Yes")*ROW(Versions!$B$2:$B$501))))))</f>
        <v/>
      </c>
      <c r="R222" s="46" t="str">
        <f aca="false">IF(A222="","",COUNTIF(Comments!$B$2:$B$2001,A222))</f>
        <v/>
      </c>
      <c r="S222" s="46" t="str">
        <f aca="false">IF(A222="","",COUNTIFS(Comments!$B$2:$B$2001,A222,Comments!$N$2:$N$2001,"Open"))</f>
        <v/>
      </c>
      <c r="T222" s="46" t="str">
        <f aca="false">IF(A222="","",COUNTIFS('Deferred edits'!$C$2:$C$201,A222,'Deferred edits'!$G$2:$G$201,"Waiting"))</f>
        <v/>
      </c>
      <c r="U222" s="46" t="str">
        <f aca="false">IF(A222="","",IF(AND(I222&lt;&gt;"",I222&lt;AsOfDate),"▲ Next date passed",IF(AND(I222&lt;&gt;"",I222&lt;=AsOfDate+7),"● Next date within 7 days",IF(AND(P222&lt;&gt;"",P222&lt;AsOfDate,N222&lt;&gt;"Complete"),"▲ Regulation past target",IF(S222&gt;0,"Open comments","")))))</f>
        <v/>
      </c>
      <c r="V222" s="46"/>
      <c r="W222" s="46"/>
      <c r="X222" s="46"/>
    </row>
    <row r="223" customFormat="false" ht="15" hidden="false" customHeight="false" outlineLevel="0" collapsed="false">
      <c r="A223" s="46"/>
      <c r="B223" s="46"/>
      <c r="C223" s="46"/>
      <c r="D223" s="46"/>
      <c r="E223" s="46"/>
      <c r="F223" s="46"/>
      <c r="G223" s="46"/>
      <c r="H223" s="46"/>
      <c r="I223" s="46"/>
      <c r="J223" s="46"/>
      <c r="K223" s="48" t="str">
        <f aca="false">IF(W223="","",HYPERLINK(W223,"Simbli"))</f>
        <v/>
      </c>
      <c r="L223" s="48" t="str">
        <f aca="false">IF(X223="","",HYPERLINK(X223,"Simbli"))</f>
        <v/>
      </c>
      <c r="M223" s="46"/>
      <c r="N223" s="46"/>
      <c r="O223" s="46"/>
      <c r="P223" s="46" t="str">
        <f aca="false">IF(OR(A223="",O223=""),"",O223+RegDays)</f>
        <v/>
      </c>
      <c r="Q223" s="46" t="str">
        <f aca="false">IF(A223="","",IF(SUMPRODUCT(MAX((Versions!$B$2:$B$501=A223)*(Versions!$M$2:$M$501="Yes")*ROW(Versions!$B$2:$B$501)))=0,"",INDEX(Versions!$A$1:$A$501,SUMPRODUCT(MAX((Versions!$B$2:$B$501=A223)*(Versions!$M$2:$M$501="Yes")*ROW(Versions!$B$2:$B$501))))))</f>
        <v/>
      </c>
      <c r="R223" s="46" t="str">
        <f aca="false">IF(A223="","",COUNTIF(Comments!$B$2:$B$2001,A223))</f>
        <v/>
      </c>
      <c r="S223" s="46" t="str">
        <f aca="false">IF(A223="","",COUNTIFS(Comments!$B$2:$B$2001,A223,Comments!$N$2:$N$2001,"Open"))</f>
        <v/>
      </c>
      <c r="T223" s="46" t="str">
        <f aca="false">IF(A223="","",COUNTIFS('Deferred edits'!$C$2:$C$201,A223,'Deferred edits'!$G$2:$G$201,"Waiting"))</f>
        <v/>
      </c>
      <c r="U223" s="46" t="str">
        <f aca="false">IF(A223="","",IF(AND(I223&lt;&gt;"",I223&lt;AsOfDate),"▲ Next date passed",IF(AND(I223&lt;&gt;"",I223&lt;=AsOfDate+7),"● Next date within 7 days",IF(AND(P223&lt;&gt;"",P223&lt;AsOfDate,N223&lt;&gt;"Complete"),"▲ Regulation past target",IF(S223&gt;0,"Open comments","")))))</f>
        <v/>
      </c>
      <c r="V223" s="46"/>
      <c r="W223" s="46"/>
      <c r="X223" s="46"/>
    </row>
    <row r="224" customFormat="false" ht="15" hidden="false" customHeight="false" outlineLevel="0" collapsed="false">
      <c r="A224" s="46"/>
      <c r="B224" s="46"/>
      <c r="C224" s="46"/>
      <c r="D224" s="46"/>
      <c r="E224" s="46"/>
      <c r="F224" s="46"/>
      <c r="G224" s="46"/>
      <c r="H224" s="46"/>
      <c r="I224" s="46"/>
      <c r="J224" s="46"/>
      <c r="K224" s="48" t="str">
        <f aca="false">IF(W224="","",HYPERLINK(W224,"Simbli"))</f>
        <v/>
      </c>
      <c r="L224" s="48" t="str">
        <f aca="false">IF(X224="","",HYPERLINK(X224,"Simbli"))</f>
        <v/>
      </c>
      <c r="M224" s="46"/>
      <c r="N224" s="46"/>
      <c r="O224" s="46"/>
      <c r="P224" s="46" t="str">
        <f aca="false">IF(OR(A224="",O224=""),"",O224+RegDays)</f>
        <v/>
      </c>
      <c r="Q224" s="46" t="str">
        <f aca="false">IF(A224="","",IF(SUMPRODUCT(MAX((Versions!$B$2:$B$501=A224)*(Versions!$M$2:$M$501="Yes")*ROW(Versions!$B$2:$B$501)))=0,"",INDEX(Versions!$A$1:$A$501,SUMPRODUCT(MAX((Versions!$B$2:$B$501=A224)*(Versions!$M$2:$M$501="Yes")*ROW(Versions!$B$2:$B$501))))))</f>
        <v/>
      </c>
      <c r="R224" s="46" t="str">
        <f aca="false">IF(A224="","",COUNTIF(Comments!$B$2:$B$2001,A224))</f>
        <v/>
      </c>
      <c r="S224" s="46" t="str">
        <f aca="false">IF(A224="","",COUNTIFS(Comments!$B$2:$B$2001,A224,Comments!$N$2:$N$2001,"Open"))</f>
        <v/>
      </c>
      <c r="T224" s="46" t="str">
        <f aca="false">IF(A224="","",COUNTIFS('Deferred edits'!$C$2:$C$201,A224,'Deferred edits'!$G$2:$G$201,"Waiting"))</f>
        <v/>
      </c>
      <c r="U224" s="46" t="str">
        <f aca="false">IF(A224="","",IF(AND(I224&lt;&gt;"",I224&lt;AsOfDate),"▲ Next date passed",IF(AND(I224&lt;&gt;"",I224&lt;=AsOfDate+7),"● Next date within 7 days",IF(AND(P224&lt;&gt;"",P224&lt;AsOfDate,N224&lt;&gt;"Complete"),"▲ Regulation past target",IF(S224&gt;0,"Open comments","")))))</f>
        <v/>
      </c>
      <c r="V224" s="46"/>
      <c r="W224" s="46"/>
      <c r="X224" s="46"/>
    </row>
    <row r="225" customFormat="false" ht="15" hidden="false" customHeight="false" outlineLevel="0" collapsed="false">
      <c r="A225" s="46"/>
      <c r="B225" s="46"/>
      <c r="C225" s="46"/>
      <c r="D225" s="46"/>
      <c r="E225" s="46"/>
      <c r="F225" s="46"/>
      <c r="G225" s="46"/>
      <c r="H225" s="46"/>
      <c r="I225" s="46"/>
      <c r="J225" s="46"/>
      <c r="K225" s="48" t="str">
        <f aca="false">IF(W225="","",HYPERLINK(W225,"Simbli"))</f>
        <v/>
      </c>
      <c r="L225" s="48" t="str">
        <f aca="false">IF(X225="","",HYPERLINK(X225,"Simbli"))</f>
        <v/>
      </c>
      <c r="M225" s="46"/>
      <c r="N225" s="46"/>
      <c r="O225" s="46"/>
      <c r="P225" s="46" t="str">
        <f aca="false">IF(OR(A225="",O225=""),"",O225+RegDays)</f>
        <v/>
      </c>
      <c r="Q225" s="46" t="str">
        <f aca="false">IF(A225="","",IF(SUMPRODUCT(MAX((Versions!$B$2:$B$501=A225)*(Versions!$M$2:$M$501="Yes")*ROW(Versions!$B$2:$B$501)))=0,"",INDEX(Versions!$A$1:$A$501,SUMPRODUCT(MAX((Versions!$B$2:$B$501=A225)*(Versions!$M$2:$M$501="Yes")*ROW(Versions!$B$2:$B$501))))))</f>
        <v/>
      </c>
      <c r="R225" s="46" t="str">
        <f aca="false">IF(A225="","",COUNTIF(Comments!$B$2:$B$2001,A225))</f>
        <v/>
      </c>
      <c r="S225" s="46" t="str">
        <f aca="false">IF(A225="","",COUNTIFS(Comments!$B$2:$B$2001,A225,Comments!$N$2:$N$2001,"Open"))</f>
        <v/>
      </c>
      <c r="T225" s="46" t="str">
        <f aca="false">IF(A225="","",COUNTIFS('Deferred edits'!$C$2:$C$201,A225,'Deferred edits'!$G$2:$G$201,"Waiting"))</f>
        <v/>
      </c>
      <c r="U225" s="46" t="str">
        <f aca="false">IF(A225="","",IF(AND(I225&lt;&gt;"",I225&lt;AsOfDate),"▲ Next date passed",IF(AND(I225&lt;&gt;"",I225&lt;=AsOfDate+7),"● Next date within 7 days",IF(AND(P225&lt;&gt;"",P225&lt;AsOfDate,N225&lt;&gt;"Complete"),"▲ Regulation past target",IF(S225&gt;0,"Open comments","")))))</f>
        <v/>
      </c>
      <c r="V225" s="46"/>
      <c r="W225" s="46"/>
      <c r="X225" s="46"/>
    </row>
    <row r="226" customFormat="false" ht="15" hidden="false" customHeight="false" outlineLevel="0" collapsed="false">
      <c r="A226" s="46"/>
      <c r="B226" s="46"/>
      <c r="C226" s="46"/>
      <c r="D226" s="46"/>
      <c r="E226" s="46"/>
      <c r="F226" s="46"/>
      <c r="G226" s="46"/>
      <c r="H226" s="46"/>
      <c r="I226" s="46"/>
      <c r="J226" s="46"/>
      <c r="K226" s="48" t="str">
        <f aca="false">IF(W226="","",HYPERLINK(W226,"Simbli"))</f>
        <v/>
      </c>
      <c r="L226" s="48" t="str">
        <f aca="false">IF(X226="","",HYPERLINK(X226,"Simbli"))</f>
        <v/>
      </c>
      <c r="M226" s="46"/>
      <c r="N226" s="46"/>
      <c r="O226" s="46"/>
      <c r="P226" s="46" t="str">
        <f aca="false">IF(OR(A226="",O226=""),"",O226+RegDays)</f>
        <v/>
      </c>
      <c r="Q226" s="46" t="str">
        <f aca="false">IF(A226="","",IF(SUMPRODUCT(MAX((Versions!$B$2:$B$501=A226)*(Versions!$M$2:$M$501="Yes")*ROW(Versions!$B$2:$B$501)))=0,"",INDEX(Versions!$A$1:$A$501,SUMPRODUCT(MAX((Versions!$B$2:$B$501=A226)*(Versions!$M$2:$M$501="Yes")*ROW(Versions!$B$2:$B$501))))))</f>
        <v/>
      </c>
      <c r="R226" s="46" t="str">
        <f aca="false">IF(A226="","",COUNTIF(Comments!$B$2:$B$2001,A226))</f>
        <v/>
      </c>
      <c r="S226" s="46" t="str">
        <f aca="false">IF(A226="","",COUNTIFS(Comments!$B$2:$B$2001,A226,Comments!$N$2:$N$2001,"Open"))</f>
        <v/>
      </c>
      <c r="T226" s="46" t="str">
        <f aca="false">IF(A226="","",COUNTIFS('Deferred edits'!$C$2:$C$201,A226,'Deferred edits'!$G$2:$G$201,"Waiting"))</f>
        <v/>
      </c>
      <c r="U226" s="46" t="str">
        <f aca="false">IF(A226="","",IF(AND(I226&lt;&gt;"",I226&lt;AsOfDate),"▲ Next date passed",IF(AND(I226&lt;&gt;"",I226&lt;=AsOfDate+7),"● Next date within 7 days",IF(AND(P226&lt;&gt;"",P226&lt;AsOfDate,N226&lt;&gt;"Complete"),"▲ Regulation past target",IF(S226&gt;0,"Open comments","")))))</f>
        <v/>
      </c>
      <c r="V226" s="46"/>
      <c r="W226" s="46"/>
      <c r="X226" s="46"/>
    </row>
    <row r="227" customFormat="false" ht="15" hidden="false" customHeight="false" outlineLevel="0" collapsed="false">
      <c r="A227" s="46"/>
      <c r="B227" s="46"/>
      <c r="C227" s="46"/>
      <c r="D227" s="46"/>
      <c r="E227" s="46"/>
      <c r="F227" s="46"/>
      <c r="G227" s="46"/>
      <c r="H227" s="46"/>
      <c r="I227" s="46"/>
      <c r="J227" s="46"/>
      <c r="K227" s="48" t="str">
        <f aca="false">IF(W227="","",HYPERLINK(W227,"Simbli"))</f>
        <v/>
      </c>
      <c r="L227" s="48" t="str">
        <f aca="false">IF(X227="","",HYPERLINK(X227,"Simbli"))</f>
        <v/>
      </c>
      <c r="M227" s="46"/>
      <c r="N227" s="46"/>
      <c r="O227" s="46"/>
      <c r="P227" s="46" t="str">
        <f aca="false">IF(OR(A227="",O227=""),"",O227+RegDays)</f>
        <v/>
      </c>
      <c r="Q227" s="46" t="str">
        <f aca="false">IF(A227="","",IF(SUMPRODUCT(MAX((Versions!$B$2:$B$501=A227)*(Versions!$M$2:$M$501="Yes")*ROW(Versions!$B$2:$B$501)))=0,"",INDEX(Versions!$A$1:$A$501,SUMPRODUCT(MAX((Versions!$B$2:$B$501=A227)*(Versions!$M$2:$M$501="Yes")*ROW(Versions!$B$2:$B$501))))))</f>
        <v/>
      </c>
      <c r="R227" s="46" t="str">
        <f aca="false">IF(A227="","",COUNTIF(Comments!$B$2:$B$2001,A227))</f>
        <v/>
      </c>
      <c r="S227" s="46" t="str">
        <f aca="false">IF(A227="","",COUNTIFS(Comments!$B$2:$B$2001,A227,Comments!$N$2:$N$2001,"Open"))</f>
        <v/>
      </c>
      <c r="T227" s="46" t="str">
        <f aca="false">IF(A227="","",COUNTIFS('Deferred edits'!$C$2:$C$201,A227,'Deferred edits'!$G$2:$G$201,"Waiting"))</f>
        <v/>
      </c>
      <c r="U227" s="46" t="str">
        <f aca="false">IF(A227="","",IF(AND(I227&lt;&gt;"",I227&lt;AsOfDate),"▲ Next date passed",IF(AND(I227&lt;&gt;"",I227&lt;=AsOfDate+7),"● Next date within 7 days",IF(AND(P227&lt;&gt;"",P227&lt;AsOfDate,N227&lt;&gt;"Complete"),"▲ Regulation past target",IF(S227&gt;0,"Open comments","")))))</f>
        <v/>
      </c>
      <c r="V227" s="46"/>
      <c r="W227" s="46"/>
      <c r="X227" s="46"/>
    </row>
    <row r="228" customFormat="false" ht="15" hidden="false" customHeight="false" outlineLevel="0" collapsed="false">
      <c r="A228" s="46"/>
      <c r="B228" s="46"/>
      <c r="C228" s="46"/>
      <c r="D228" s="46"/>
      <c r="E228" s="46"/>
      <c r="F228" s="46"/>
      <c r="G228" s="46"/>
      <c r="H228" s="46"/>
      <c r="I228" s="46"/>
      <c r="J228" s="46"/>
      <c r="K228" s="48" t="str">
        <f aca="false">IF(W228="","",HYPERLINK(W228,"Simbli"))</f>
        <v/>
      </c>
      <c r="L228" s="48" t="str">
        <f aca="false">IF(X228="","",HYPERLINK(X228,"Simbli"))</f>
        <v/>
      </c>
      <c r="M228" s="46"/>
      <c r="N228" s="46"/>
      <c r="O228" s="46"/>
      <c r="P228" s="46" t="str">
        <f aca="false">IF(OR(A228="",O228=""),"",O228+RegDays)</f>
        <v/>
      </c>
      <c r="Q228" s="46" t="str">
        <f aca="false">IF(A228="","",IF(SUMPRODUCT(MAX((Versions!$B$2:$B$501=A228)*(Versions!$M$2:$M$501="Yes")*ROW(Versions!$B$2:$B$501)))=0,"",INDEX(Versions!$A$1:$A$501,SUMPRODUCT(MAX((Versions!$B$2:$B$501=A228)*(Versions!$M$2:$M$501="Yes")*ROW(Versions!$B$2:$B$501))))))</f>
        <v/>
      </c>
      <c r="R228" s="46" t="str">
        <f aca="false">IF(A228="","",COUNTIF(Comments!$B$2:$B$2001,A228))</f>
        <v/>
      </c>
      <c r="S228" s="46" t="str">
        <f aca="false">IF(A228="","",COUNTIFS(Comments!$B$2:$B$2001,A228,Comments!$N$2:$N$2001,"Open"))</f>
        <v/>
      </c>
      <c r="T228" s="46" t="str">
        <f aca="false">IF(A228="","",COUNTIFS('Deferred edits'!$C$2:$C$201,A228,'Deferred edits'!$G$2:$G$201,"Waiting"))</f>
        <v/>
      </c>
      <c r="U228" s="46" t="str">
        <f aca="false">IF(A228="","",IF(AND(I228&lt;&gt;"",I228&lt;AsOfDate),"▲ Next date passed",IF(AND(I228&lt;&gt;"",I228&lt;=AsOfDate+7),"● Next date within 7 days",IF(AND(P228&lt;&gt;"",P228&lt;AsOfDate,N228&lt;&gt;"Complete"),"▲ Regulation past target",IF(S228&gt;0,"Open comments","")))))</f>
        <v/>
      </c>
      <c r="V228" s="46"/>
      <c r="W228" s="46"/>
      <c r="X228" s="46"/>
    </row>
    <row r="229" customFormat="false" ht="15" hidden="false" customHeight="false" outlineLevel="0" collapsed="false">
      <c r="A229" s="46"/>
      <c r="B229" s="46"/>
      <c r="C229" s="46"/>
      <c r="D229" s="46"/>
      <c r="E229" s="46"/>
      <c r="F229" s="46"/>
      <c r="G229" s="46"/>
      <c r="H229" s="46"/>
      <c r="I229" s="46"/>
      <c r="J229" s="46"/>
      <c r="K229" s="48" t="str">
        <f aca="false">IF(W229="","",HYPERLINK(W229,"Simbli"))</f>
        <v/>
      </c>
      <c r="L229" s="48" t="str">
        <f aca="false">IF(X229="","",HYPERLINK(X229,"Simbli"))</f>
        <v/>
      </c>
      <c r="M229" s="46"/>
      <c r="N229" s="46"/>
      <c r="O229" s="46"/>
      <c r="P229" s="46" t="str">
        <f aca="false">IF(OR(A229="",O229=""),"",O229+RegDays)</f>
        <v/>
      </c>
      <c r="Q229" s="46" t="str">
        <f aca="false">IF(A229="","",IF(SUMPRODUCT(MAX((Versions!$B$2:$B$501=A229)*(Versions!$M$2:$M$501="Yes")*ROW(Versions!$B$2:$B$501)))=0,"",INDEX(Versions!$A$1:$A$501,SUMPRODUCT(MAX((Versions!$B$2:$B$501=A229)*(Versions!$M$2:$M$501="Yes")*ROW(Versions!$B$2:$B$501))))))</f>
        <v/>
      </c>
      <c r="R229" s="46" t="str">
        <f aca="false">IF(A229="","",COUNTIF(Comments!$B$2:$B$2001,A229))</f>
        <v/>
      </c>
      <c r="S229" s="46" t="str">
        <f aca="false">IF(A229="","",COUNTIFS(Comments!$B$2:$B$2001,A229,Comments!$N$2:$N$2001,"Open"))</f>
        <v/>
      </c>
      <c r="T229" s="46" t="str">
        <f aca="false">IF(A229="","",COUNTIFS('Deferred edits'!$C$2:$C$201,A229,'Deferred edits'!$G$2:$G$201,"Waiting"))</f>
        <v/>
      </c>
      <c r="U229" s="46" t="str">
        <f aca="false">IF(A229="","",IF(AND(I229&lt;&gt;"",I229&lt;AsOfDate),"▲ Next date passed",IF(AND(I229&lt;&gt;"",I229&lt;=AsOfDate+7),"● Next date within 7 days",IF(AND(P229&lt;&gt;"",P229&lt;AsOfDate,N229&lt;&gt;"Complete"),"▲ Regulation past target",IF(S229&gt;0,"Open comments","")))))</f>
        <v/>
      </c>
      <c r="V229" s="46"/>
      <c r="W229" s="46"/>
      <c r="X229" s="46"/>
    </row>
    <row r="230" customFormat="false" ht="15" hidden="false" customHeight="false" outlineLevel="0" collapsed="false">
      <c r="A230" s="46"/>
      <c r="B230" s="46"/>
      <c r="C230" s="46"/>
      <c r="D230" s="46"/>
      <c r="E230" s="46"/>
      <c r="F230" s="46"/>
      <c r="G230" s="46"/>
      <c r="H230" s="46"/>
      <c r="I230" s="46"/>
      <c r="J230" s="46"/>
      <c r="K230" s="48" t="str">
        <f aca="false">IF(W230="","",HYPERLINK(W230,"Simbli"))</f>
        <v/>
      </c>
      <c r="L230" s="48" t="str">
        <f aca="false">IF(X230="","",HYPERLINK(X230,"Simbli"))</f>
        <v/>
      </c>
      <c r="M230" s="46"/>
      <c r="N230" s="46"/>
      <c r="O230" s="46"/>
      <c r="P230" s="46" t="str">
        <f aca="false">IF(OR(A230="",O230=""),"",O230+RegDays)</f>
        <v/>
      </c>
      <c r="Q230" s="46" t="str">
        <f aca="false">IF(A230="","",IF(SUMPRODUCT(MAX((Versions!$B$2:$B$501=A230)*(Versions!$M$2:$M$501="Yes")*ROW(Versions!$B$2:$B$501)))=0,"",INDEX(Versions!$A$1:$A$501,SUMPRODUCT(MAX((Versions!$B$2:$B$501=A230)*(Versions!$M$2:$M$501="Yes")*ROW(Versions!$B$2:$B$501))))))</f>
        <v/>
      </c>
      <c r="R230" s="46" t="str">
        <f aca="false">IF(A230="","",COUNTIF(Comments!$B$2:$B$2001,A230))</f>
        <v/>
      </c>
      <c r="S230" s="46" t="str">
        <f aca="false">IF(A230="","",COUNTIFS(Comments!$B$2:$B$2001,A230,Comments!$N$2:$N$2001,"Open"))</f>
        <v/>
      </c>
      <c r="T230" s="46" t="str">
        <f aca="false">IF(A230="","",COUNTIFS('Deferred edits'!$C$2:$C$201,A230,'Deferred edits'!$G$2:$G$201,"Waiting"))</f>
        <v/>
      </c>
      <c r="U230" s="46" t="str">
        <f aca="false">IF(A230="","",IF(AND(I230&lt;&gt;"",I230&lt;AsOfDate),"▲ Next date passed",IF(AND(I230&lt;&gt;"",I230&lt;=AsOfDate+7),"● Next date within 7 days",IF(AND(P230&lt;&gt;"",P230&lt;AsOfDate,N230&lt;&gt;"Complete"),"▲ Regulation past target",IF(S230&gt;0,"Open comments","")))))</f>
        <v/>
      </c>
      <c r="V230" s="46"/>
      <c r="W230" s="46"/>
      <c r="X230" s="46"/>
    </row>
    <row r="231" customFormat="false" ht="15" hidden="false" customHeight="false" outlineLevel="0" collapsed="false">
      <c r="A231" s="46"/>
      <c r="B231" s="46"/>
      <c r="C231" s="46"/>
      <c r="D231" s="46"/>
      <c r="E231" s="46"/>
      <c r="F231" s="46"/>
      <c r="G231" s="46"/>
      <c r="H231" s="46"/>
      <c r="I231" s="46"/>
      <c r="J231" s="46"/>
      <c r="K231" s="48" t="str">
        <f aca="false">IF(W231="","",HYPERLINK(W231,"Simbli"))</f>
        <v/>
      </c>
      <c r="L231" s="48" t="str">
        <f aca="false">IF(X231="","",HYPERLINK(X231,"Simbli"))</f>
        <v/>
      </c>
      <c r="M231" s="46"/>
      <c r="N231" s="46"/>
      <c r="O231" s="46"/>
      <c r="P231" s="46" t="str">
        <f aca="false">IF(OR(A231="",O231=""),"",O231+RegDays)</f>
        <v/>
      </c>
      <c r="Q231" s="46" t="str">
        <f aca="false">IF(A231="","",IF(SUMPRODUCT(MAX((Versions!$B$2:$B$501=A231)*(Versions!$M$2:$M$501="Yes")*ROW(Versions!$B$2:$B$501)))=0,"",INDEX(Versions!$A$1:$A$501,SUMPRODUCT(MAX((Versions!$B$2:$B$501=A231)*(Versions!$M$2:$M$501="Yes")*ROW(Versions!$B$2:$B$501))))))</f>
        <v/>
      </c>
      <c r="R231" s="46" t="str">
        <f aca="false">IF(A231="","",COUNTIF(Comments!$B$2:$B$2001,A231))</f>
        <v/>
      </c>
      <c r="S231" s="46" t="str">
        <f aca="false">IF(A231="","",COUNTIFS(Comments!$B$2:$B$2001,A231,Comments!$N$2:$N$2001,"Open"))</f>
        <v/>
      </c>
      <c r="T231" s="46" t="str">
        <f aca="false">IF(A231="","",COUNTIFS('Deferred edits'!$C$2:$C$201,A231,'Deferred edits'!$G$2:$G$201,"Waiting"))</f>
        <v/>
      </c>
      <c r="U231" s="46" t="str">
        <f aca="false">IF(A231="","",IF(AND(I231&lt;&gt;"",I231&lt;AsOfDate),"▲ Next date passed",IF(AND(I231&lt;&gt;"",I231&lt;=AsOfDate+7),"● Next date within 7 days",IF(AND(P231&lt;&gt;"",P231&lt;AsOfDate,N231&lt;&gt;"Complete"),"▲ Regulation past target",IF(S231&gt;0,"Open comments","")))))</f>
        <v/>
      </c>
      <c r="V231" s="46"/>
      <c r="W231" s="46"/>
      <c r="X231" s="46"/>
    </row>
    <row r="232" customFormat="false" ht="15" hidden="false" customHeight="false" outlineLevel="0" collapsed="false">
      <c r="A232" s="46"/>
      <c r="B232" s="46"/>
      <c r="C232" s="46"/>
      <c r="D232" s="46"/>
      <c r="E232" s="46"/>
      <c r="F232" s="46"/>
      <c r="G232" s="46"/>
      <c r="H232" s="46"/>
      <c r="I232" s="46"/>
      <c r="J232" s="46"/>
      <c r="K232" s="48" t="str">
        <f aca="false">IF(W232="","",HYPERLINK(W232,"Simbli"))</f>
        <v/>
      </c>
      <c r="L232" s="48" t="str">
        <f aca="false">IF(X232="","",HYPERLINK(X232,"Simbli"))</f>
        <v/>
      </c>
      <c r="M232" s="46"/>
      <c r="N232" s="46"/>
      <c r="O232" s="46"/>
      <c r="P232" s="46" t="str">
        <f aca="false">IF(OR(A232="",O232=""),"",O232+RegDays)</f>
        <v/>
      </c>
      <c r="Q232" s="46" t="str">
        <f aca="false">IF(A232="","",IF(SUMPRODUCT(MAX((Versions!$B$2:$B$501=A232)*(Versions!$M$2:$M$501="Yes")*ROW(Versions!$B$2:$B$501)))=0,"",INDEX(Versions!$A$1:$A$501,SUMPRODUCT(MAX((Versions!$B$2:$B$501=A232)*(Versions!$M$2:$M$501="Yes")*ROW(Versions!$B$2:$B$501))))))</f>
        <v/>
      </c>
      <c r="R232" s="46" t="str">
        <f aca="false">IF(A232="","",COUNTIF(Comments!$B$2:$B$2001,A232))</f>
        <v/>
      </c>
      <c r="S232" s="46" t="str">
        <f aca="false">IF(A232="","",COUNTIFS(Comments!$B$2:$B$2001,A232,Comments!$N$2:$N$2001,"Open"))</f>
        <v/>
      </c>
      <c r="T232" s="46" t="str">
        <f aca="false">IF(A232="","",COUNTIFS('Deferred edits'!$C$2:$C$201,A232,'Deferred edits'!$G$2:$G$201,"Waiting"))</f>
        <v/>
      </c>
      <c r="U232" s="46" t="str">
        <f aca="false">IF(A232="","",IF(AND(I232&lt;&gt;"",I232&lt;AsOfDate),"▲ Next date passed",IF(AND(I232&lt;&gt;"",I232&lt;=AsOfDate+7),"● Next date within 7 days",IF(AND(P232&lt;&gt;"",P232&lt;AsOfDate,N232&lt;&gt;"Complete"),"▲ Regulation past target",IF(S232&gt;0,"Open comments","")))))</f>
        <v/>
      </c>
      <c r="V232" s="46"/>
      <c r="W232" s="46"/>
      <c r="X232" s="46"/>
    </row>
    <row r="233" customFormat="false" ht="15" hidden="false" customHeight="false" outlineLevel="0" collapsed="false">
      <c r="A233" s="46"/>
      <c r="B233" s="46"/>
      <c r="C233" s="46"/>
      <c r="D233" s="46"/>
      <c r="E233" s="46"/>
      <c r="F233" s="46"/>
      <c r="G233" s="46"/>
      <c r="H233" s="46"/>
      <c r="I233" s="46"/>
      <c r="J233" s="46"/>
      <c r="K233" s="48" t="str">
        <f aca="false">IF(W233="","",HYPERLINK(W233,"Simbli"))</f>
        <v/>
      </c>
      <c r="L233" s="48" t="str">
        <f aca="false">IF(X233="","",HYPERLINK(X233,"Simbli"))</f>
        <v/>
      </c>
      <c r="M233" s="46"/>
      <c r="N233" s="46"/>
      <c r="O233" s="46"/>
      <c r="P233" s="46" t="str">
        <f aca="false">IF(OR(A233="",O233=""),"",O233+RegDays)</f>
        <v/>
      </c>
      <c r="Q233" s="46" t="str">
        <f aca="false">IF(A233="","",IF(SUMPRODUCT(MAX((Versions!$B$2:$B$501=A233)*(Versions!$M$2:$M$501="Yes")*ROW(Versions!$B$2:$B$501)))=0,"",INDEX(Versions!$A$1:$A$501,SUMPRODUCT(MAX((Versions!$B$2:$B$501=A233)*(Versions!$M$2:$M$501="Yes")*ROW(Versions!$B$2:$B$501))))))</f>
        <v/>
      </c>
      <c r="R233" s="46" t="str">
        <f aca="false">IF(A233="","",COUNTIF(Comments!$B$2:$B$2001,A233))</f>
        <v/>
      </c>
      <c r="S233" s="46" t="str">
        <f aca="false">IF(A233="","",COUNTIFS(Comments!$B$2:$B$2001,A233,Comments!$N$2:$N$2001,"Open"))</f>
        <v/>
      </c>
      <c r="T233" s="46" t="str">
        <f aca="false">IF(A233="","",COUNTIFS('Deferred edits'!$C$2:$C$201,A233,'Deferred edits'!$G$2:$G$201,"Waiting"))</f>
        <v/>
      </c>
      <c r="U233" s="46" t="str">
        <f aca="false">IF(A233="","",IF(AND(I233&lt;&gt;"",I233&lt;AsOfDate),"▲ Next date passed",IF(AND(I233&lt;&gt;"",I233&lt;=AsOfDate+7),"● Next date within 7 days",IF(AND(P233&lt;&gt;"",P233&lt;AsOfDate,N233&lt;&gt;"Complete"),"▲ Regulation past target",IF(S233&gt;0,"Open comments","")))))</f>
        <v/>
      </c>
      <c r="V233" s="46"/>
      <c r="W233" s="46"/>
      <c r="X233" s="46"/>
    </row>
    <row r="234" customFormat="false" ht="15" hidden="false" customHeight="false" outlineLevel="0" collapsed="false">
      <c r="A234" s="46"/>
      <c r="B234" s="46"/>
      <c r="C234" s="46"/>
      <c r="D234" s="46"/>
      <c r="E234" s="46"/>
      <c r="F234" s="46"/>
      <c r="G234" s="46"/>
      <c r="H234" s="46"/>
      <c r="I234" s="46"/>
      <c r="J234" s="46"/>
      <c r="K234" s="48" t="str">
        <f aca="false">IF(W234="","",HYPERLINK(W234,"Simbli"))</f>
        <v/>
      </c>
      <c r="L234" s="48" t="str">
        <f aca="false">IF(X234="","",HYPERLINK(X234,"Simbli"))</f>
        <v/>
      </c>
      <c r="M234" s="46"/>
      <c r="N234" s="46"/>
      <c r="O234" s="46"/>
      <c r="P234" s="46" t="str">
        <f aca="false">IF(OR(A234="",O234=""),"",O234+RegDays)</f>
        <v/>
      </c>
      <c r="Q234" s="46" t="str">
        <f aca="false">IF(A234="","",IF(SUMPRODUCT(MAX((Versions!$B$2:$B$501=A234)*(Versions!$M$2:$M$501="Yes")*ROW(Versions!$B$2:$B$501)))=0,"",INDEX(Versions!$A$1:$A$501,SUMPRODUCT(MAX((Versions!$B$2:$B$501=A234)*(Versions!$M$2:$M$501="Yes")*ROW(Versions!$B$2:$B$501))))))</f>
        <v/>
      </c>
      <c r="R234" s="46" t="str">
        <f aca="false">IF(A234="","",COUNTIF(Comments!$B$2:$B$2001,A234))</f>
        <v/>
      </c>
      <c r="S234" s="46" t="str">
        <f aca="false">IF(A234="","",COUNTIFS(Comments!$B$2:$B$2001,A234,Comments!$N$2:$N$2001,"Open"))</f>
        <v/>
      </c>
      <c r="T234" s="46" t="str">
        <f aca="false">IF(A234="","",COUNTIFS('Deferred edits'!$C$2:$C$201,A234,'Deferred edits'!$G$2:$G$201,"Waiting"))</f>
        <v/>
      </c>
      <c r="U234" s="46" t="str">
        <f aca="false">IF(A234="","",IF(AND(I234&lt;&gt;"",I234&lt;AsOfDate),"▲ Next date passed",IF(AND(I234&lt;&gt;"",I234&lt;=AsOfDate+7),"● Next date within 7 days",IF(AND(P234&lt;&gt;"",P234&lt;AsOfDate,N234&lt;&gt;"Complete"),"▲ Regulation past target",IF(S234&gt;0,"Open comments","")))))</f>
        <v/>
      </c>
      <c r="V234" s="46"/>
      <c r="W234" s="46"/>
      <c r="X234" s="46"/>
    </row>
    <row r="235" customFormat="false" ht="15" hidden="false" customHeight="false" outlineLevel="0" collapsed="false">
      <c r="A235" s="46"/>
      <c r="B235" s="46"/>
      <c r="C235" s="46"/>
      <c r="D235" s="46"/>
      <c r="E235" s="46"/>
      <c r="F235" s="46"/>
      <c r="G235" s="46"/>
      <c r="H235" s="46"/>
      <c r="I235" s="46"/>
      <c r="J235" s="46"/>
      <c r="K235" s="48" t="str">
        <f aca="false">IF(W235="","",HYPERLINK(W235,"Simbli"))</f>
        <v/>
      </c>
      <c r="L235" s="48" t="str">
        <f aca="false">IF(X235="","",HYPERLINK(X235,"Simbli"))</f>
        <v/>
      </c>
      <c r="M235" s="46"/>
      <c r="N235" s="46"/>
      <c r="O235" s="46"/>
      <c r="P235" s="46" t="str">
        <f aca="false">IF(OR(A235="",O235=""),"",O235+RegDays)</f>
        <v/>
      </c>
      <c r="Q235" s="46" t="str">
        <f aca="false">IF(A235="","",IF(SUMPRODUCT(MAX((Versions!$B$2:$B$501=A235)*(Versions!$M$2:$M$501="Yes")*ROW(Versions!$B$2:$B$501)))=0,"",INDEX(Versions!$A$1:$A$501,SUMPRODUCT(MAX((Versions!$B$2:$B$501=A235)*(Versions!$M$2:$M$501="Yes")*ROW(Versions!$B$2:$B$501))))))</f>
        <v/>
      </c>
      <c r="R235" s="46" t="str">
        <f aca="false">IF(A235="","",COUNTIF(Comments!$B$2:$B$2001,A235))</f>
        <v/>
      </c>
      <c r="S235" s="46" t="str">
        <f aca="false">IF(A235="","",COUNTIFS(Comments!$B$2:$B$2001,A235,Comments!$N$2:$N$2001,"Open"))</f>
        <v/>
      </c>
      <c r="T235" s="46" t="str">
        <f aca="false">IF(A235="","",COUNTIFS('Deferred edits'!$C$2:$C$201,A235,'Deferred edits'!$G$2:$G$201,"Waiting"))</f>
        <v/>
      </c>
      <c r="U235" s="46" t="str">
        <f aca="false">IF(A235="","",IF(AND(I235&lt;&gt;"",I235&lt;AsOfDate),"▲ Next date passed",IF(AND(I235&lt;&gt;"",I235&lt;=AsOfDate+7),"● Next date within 7 days",IF(AND(P235&lt;&gt;"",P235&lt;AsOfDate,N235&lt;&gt;"Complete"),"▲ Regulation past target",IF(S235&gt;0,"Open comments","")))))</f>
        <v/>
      </c>
      <c r="V235" s="46"/>
      <c r="W235" s="46"/>
      <c r="X235" s="46"/>
    </row>
    <row r="236" customFormat="false" ht="15" hidden="false" customHeight="false" outlineLevel="0" collapsed="false">
      <c r="A236" s="46"/>
      <c r="B236" s="46"/>
      <c r="C236" s="46"/>
      <c r="D236" s="46"/>
      <c r="E236" s="46"/>
      <c r="F236" s="46"/>
      <c r="G236" s="46"/>
      <c r="H236" s="46"/>
      <c r="I236" s="46"/>
      <c r="J236" s="46"/>
      <c r="K236" s="48" t="str">
        <f aca="false">IF(W236="","",HYPERLINK(W236,"Simbli"))</f>
        <v/>
      </c>
      <c r="L236" s="48" t="str">
        <f aca="false">IF(X236="","",HYPERLINK(X236,"Simbli"))</f>
        <v/>
      </c>
      <c r="M236" s="46"/>
      <c r="N236" s="46"/>
      <c r="O236" s="46"/>
      <c r="P236" s="46" t="str">
        <f aca="false">IF(OR(A236="",O236=""),"",O236+RegDays)</f>
        <v/>
      </c>
      <c r="Q236" s="46" t="str">
        <f aca="false">IF(A236="","",IF(SUMPRODUCT(MAX((Versions!$B$2:$B$501=A236)*(Versions!$M$2:$M$501="Yes")*ROW(Versions!$B$2:$B$501)))=0,"",INDEX(Versions!$A$1:$A$501,SUMPRODUCT(MAX((Versions!$B$2:$B$501=A236)*(Versions!$M$2:$M$501="Yes")*ROW(Versions!$B$2:$B$501))))))</f>
        <v/>
      </c>
      <c r="R236" s="46" t="str">
        <f aca="false">IF(A236="","",COUNTIF(Comments!$B$2:$B$2001,A236))</f>
        <v/>
      </c>
      <c r="S236" s="46" t="str">
        <f aca="false">IF(A236="","",COUNTIFS(Comments!$B$2:$B$2001,A236,Comments!$N$2:$N$2001,"Open"))</f>
        <v/>
      </c>
      <c r="T236" s="46" t="str">
        <f aca="false">IF(A236="","",COUNTIFS('Deferred edits'!$C$2:$C$201,A236,'Deferred edits'!$G$2:$G$201,"Waiting"))</f>
        <v/>
      </c>
      <c r="U236" s="46" t="str">
        <f aca="false">IF(A236="","",IF(AND(I236&lt;&gt;"",I236&lt;AsOfDate),"▲ Next date passed",IF(AND(I236&lt;&gt;"",I236&lt;=AsOfDate+7),"● Next date within 7 days",IF(AND(P236&lt;&gt;"",P236&lt;AsOfDate,N236&lt;&gt;"Complete"),"▲ Regulation past target",IF(S236&gt;0,"Open comments","")))))</f>
        <v/>
      </c>
      <c r="V236" s="46"/>
      <c r="W236" s="46"/>
      <c r="X236" s="46"/>
    </row>
    <row r="237" customFormat="false" ht="15" hidden="false" customHeight="false" outlineLevel="0" collapsed="false">
      <c r="A237" s="46"/>
      <c r="B237" s="46"/>
      <c r="C237" s="46"/>
      <c r="D237" s="46"/>
      <c r="E237" s="46"/>
      <c r="F237" s="46"/>
      <c r="G237" s="46"/>
      <c r="H237" s="46"/>
      <c r="I237" s="46"/>
      <c r="J237" s="46"/>
      <c r="K237" s="48" t="str">
        <f aca="false">IF(W237="","",HYPERLINK(W237,"Simbli"))</f>
        <v/>
      </c>
      <c r="L237" s="48" t="str">
        <f aca="false">IF(X237="","",HYPERLINK(X237,"Simbli"))</f>
        <v/>
      </c>
      <c r="M237" s="46"/>
      <c r="N237" s="46"/>
      <c r="O237" s="46"/>
      <c r="P237" s="46" t="str">
        <f aca="false">IF(OR(A237="",O237=""),"",O237+RegDays)</f>
        <v/>
      </c>
      <c r="Q237" s="46" t="str">
        <f aca="false">IF(A237="","",IF(SUMPRODUCT(MAX((Versions!$B$2:$B$501=A237)*(Versions!$M$2:$M$501="Yes")*ROW(Versions!$B$2:$B$501)))=0,"",INDEX(Versions!$A$1:$A$501,SUMPRODUCT(MAX((Versions!$B$2:$B$501=A237)*(Versions!$M$2:$M$501="Yes")*ROW(Versions!$B$2:$B$501))))))</f>
        <v/>
      </c>
      <c r="R237" s="46" t="str">
        <f aca="false">IF(A237="","",COUNTIF(Comments!$B$2:$B$2001,A237))</f>
        <v/>
      </c>
      <c r="S237" s="46" t="str">
        <f aca="false">IF(A237="","",COUNTIFS(Comments!$B$2:$B$2001,A237,Comments!$N$2:$N$2001,"Open"))</f>
        <v/>
      </c>
      <c r="T237" s="46" t="str">
        <f aca="false">IF(A237="","",COUNTIFS('Deferred edits'!$C$2:$C$201,A237,'Deferred edits'!$G$2:$G$201,"Waiting"))</f>
        <v/>
      </c>
      <c r="U237" s="46" t="str">
        <f aca="false">IF(A237="","",IF(AND(I237&lt;&gt;"",I237&lt;AsOfDate),"▲ Next date passed",IF(AND(I237&lt;&gt;"",I237&lt;=AsOfDate+7),"● Next date within 7 days",IF(AND(P237&lt;&gt;"",P237&lt;AsOfDate,N237&lt;&gt;"Complete"),"▲ Regulation past target",IF(S237&gt;0,"Open comments","")))))</f>
        <v/>
      </c>
      <c r="V237" s="46"/>
      <c r="W237" s="46"/>
      <c r="X237" s="46"/>
    </row>
    <row r="238" customFormat="false" ht="15" hidden="false" customHeight="false" outlineLevel="0" collapsed="false">
      <c r="A238" s="46"/>
      <c r="B238" s="46"/>
      <c r="C238" s="46"/>
      <c r="D238" s="46"/>
      <c r="E238" s="46"/>
      <c r="F238" s="46"/>
      <c r="G238" s="46"/>
      <c r="H238" s="46"/>
      <c r="I238" s="46"/>
      <c r="J238" s="46"/>
      <c r="K238" s="48" t="str">
        <f aca="false">IF(W238="","",HYPERLINK(W238,"Simbli"))</f>
        <v/>
      </c>
      <c r="L238" s="48" t="str">
        <f aca="false">IF(X238="","",HYPERLINK(X238,"Simbli"))</f>
        <v/>
      </c>
      <c r="M238" s="46"/>
      <c r="N238" s="46"/>
      <c r="O238" s="46"/>
      <c r="P238" s="46" t="str">
        <f aca="false">IF(OR(A238="",O238=""),"",O238+RegDays)</f>
        <v/>
      </c>
      <c r="Q238" s="46" t="str">
        <f aca="false">IF(A238="","",IF(SUMPRODUCT(MAX((Versions!$B$2:$B$501=A238)*(Versions!$M$2:$M$501="Yes")*ROW(Versions!$B$2:$B$501)))=0,"",INDEX(Versions!$A$1:$A$501,SUMPRODUCT(MAX((Versions!$B$2:$B$501=A238)*(Versions!$M$2:$M$501="Yes")*ROW(Versions!$B$2:$B$501))))))</f>
        <v/>
      </c>
      <c r="R238" s="46" t="str">
        <f aca="false">IF(A238="","",COUNTIF(Comments!$B$2:$B$2001,A238))</f>
        <v/>
      </c>
      <c r="S238" s="46" t="str">
        <f aca="false">IF(A238="","",COUNTIFS(Comments!$B$2:$B$2001,A238,Comments!$N$2:$N$2001,"Open"))</f>
        <v/>
      </c>
      <c r="T238" s="46" t="str">
        <f aca="false">IF(A238="","",COUNTIFS('Deferred edits'!$C$2:$C$201,A238,'Deferred edits'!$G$2:$G$201,"Waiting"))</f>
        <v/>
      </c>
      <c r="U238" s="46" t="str">
        <f aca="false">IF(A238="","",IF(AND(I238&lt;&gt;"",I238&lt;AsOfDate),"▲ Next date passed",IF(AND(I238&lt;&gt;"",I238&lt;=AsOfDate+7),"● Next date within 7 days",IF(AND(P238&lt;&gt;"",P238&lt;AsOfDate,N238&lt;&gt;"Complete"),"▲ Regulation past target",IF(S238&gt;0,"Open comments","")))))</f>
        <v/>
      </c>
      <c r="V238" s="46"/>
      <c r="W238" s="46"/>
      <c r="X238" s="46"/>
    </row>
    <row r="239" customFormat="false" ht="15" hidden="false" customHeight="false" outlineLevel="0" collapsed="false">
      <c r="A239" s="46"/>
      <c r="B239" s="46"/>
      <c r="C239" s="46"/>
      <c r="D239" s="46"/>
      <c r="E239" s="46"/>
      <c r="F239" s="46"/>
      <c r="G239" s="46"/>
      <c r="H239" s="46"/>
      <c r="I239" s="46"/>
      <c r="J239" s="46"/>
      <c r="K239" s="48" t="str">
        <f aca="false">IF(W239="","",HYPERLINK(W239,"Simbli"))</f>
        <v/>
      </c>
      <c r="L239" s="48" t="str">
        <f aca="false">IF(X239="","",HYPERLINK(X239,"Simbli"))</f>
        <v/>
      </c>
      <c r="M239" s="46"/>
      <c r="N239" s="46"/>
      <c r="O239" s="46"/>
      <c r="P239" s="46" t="str">
        <f aca="false">IF(OR(A239="",O239=""),"",O239+RegDays)</f>
        <v/>
      </c>
      <c r="Q239" s="46" t="str">
        <f aca="false">IF(A239="","",IF(SUMPRODUCT(MAX((Versions!$B$2:$B$501=A239)*(Versions!$M$2:$M$501="Yes")*ROW(Versions!$B$2:$B$501)))=0,"",INDEX(Versions!$A$1:$A$501,SUMPRODUCT(MAX((Versions!$B$2:$B$501=A239)*(Versions!$M$2:$M$501="Yes")*ROW(Versions!$B$2:$B$501))))))</f>
        <v/>
      </c>
      <c r="R239" s="46" t="str">
        <f aca="false">IF(A239="","",COUNTIF(Comments!$B$2:$B$2001,A239))</f>
        <v/>
      </c>
      <c r="S239" s="46" t="str">
        <f aca="false">IF(A239="","",COUNTIFS(Comments!$B$2:$B$2001,A239,Comments!$N$2:$N$2001,"Open"))</f>
        <v/>
      </c>
      <c r="T239" s="46" t="str">
        <f aca="false">IF(A239="","",COUNTIFS('Deferred edits'!$C$2:$C$201,A239,'Deferred edits'!$G$2:$G$201,"Waiting"))</f>
        <v/>
      </c>
      <c r="U239" s="46" t="str">
        <f aca="false">IF(A239="","",IF(AND(I239&lt;&gt;"",I239&lt;AsOfDate),"▲ Next date passed",IF(AND(I239&lt;&gt;"",I239&lt;=AsOfDate+7),"● Next date within 7 days",IF(AND(P239&lt;&gt;"",P239&lt;AsOfDate,N239&lt;&gt;"Complete"),"▲ Regulation past target",IF(S239&gt;0,"Open comments","")))))</f>
        <v/>
      </c>
      <c r="V239" s="46"/>
      <c r="W239" s="46"/>
      <c r="X239" s="46"/>
    </row>
    <row r="240" customFormat="false" ht="15" hidden="false" customHeight="false" outlineLevel="0" collapsed="false">
      <c r="A240" s="46"/>
      <c r="B240" s="46"/>
      <c r="C240" s="46"/>
      <c r="D240" s="46"/>
      <c r="E240" s="46"/>
      <c r="F240" s="46"/>
      <c r="G240" s="46"/>
      <c r="H240" s="46"/>
      <c r="I240" s="46"/>
      <c r="J240" s="46"/>
      <c r="K240" s="48" t="str">
        <f aca="false">IF(W240="","",HYPERLINK(W240,"Simbli"))</f>
        <v/>
      </c>
      <c r="L240" s="48" t="str">
        <f aca="false">IF(X240="","",HYPERLINK(X240,"Simbli"))</f>
        <v/>
      </c>
      <c r="M240" s="46"/>
      <c r="N240" s="46"/>
      <c r="O240" s="46"/>
      <c r="P240" s="46" t="str">
        <f aca="false">IF(OR(A240="",O240=""),"",O240+RegDays)</f>
        <v/>
      </c>
      <c r="Q240" s="46" t="str">
        <f aca="false">IF(A240="","",IF(SUMPRODUCT(MAX((Versions!$B$2:$B$501=A240)*(Versions!$M$2:$M$501="Yes")*ROW(Versions!$B$2:$B$501)))=0,"",INDEX(Versions!$A$1:$A$501,SUMPRODUCT(MAX((Versions!$B$2:$B$501=A240)*(Versions!$M$2:$M$501="Yes")*ROW(Versions!$B$2:$B$501))))))</f>
        <v/>
      </c>
      <c r="R240" s="46" t="str">
        <f aca="false">IF(A240="","",COUNTIF(Comments!$B$2:$B$2001,A240))</f>
        <v/>
      </c>
      <c r="S240" s="46" t="str">
        <f aca="false">IF(A240="","",COUNTIFS(Comments!$B$2:$B$2001,A240,Comments!$N$2:$N$2001,"Open"))</f>
        <v/>
      </c>
      <c r="T240" s="46" t="str">
        <f aca="false">IF(A240="","",COUNTIFS('Deferred edits'!$C$2:$C$201,A240,'Deferred edits'!$G$2:$G$201,"Waiting"))</f>
        <v/>
      </c>
      <c r="U240" s="46" t="str">
        <f aca="false">IF(A240="","",IF(AND(I240&lt;&gt;"",I240&lt;AsOfDate),"▲ Next date passed",IF(AND(I240&lt;&gt;"",I240&lt;=AsOfDate+7),"● Next date within 7 days",IF(AND(P240&lt;&gt;"",P240&lt;AsOfDate,N240&lt;&gt;"Complete"),"▲ Regulation past target",IF(S240&gt;0,"Open comments","")))))</f>
        <v/>
      </c>
      <c r="V240" s="46"/>
      <c r="W240" s="46"/>
      <c r="X240" s="46"/>
    </row>
    <row r="241" customFormat="false" ht="15" hidden="false" customHeight="false" outlineLevel="0" collapsed="false">
      <c r="A241" s="46"/>
      <c r="B241" s="46"/>
      <c r="C241" s="46"/>
      <c r="D241" s="46"/>
      <c r="E241" s="46"/>
      <c r="F241" s="46"/>
      <c r="G241" s="46"/>
      <c r="H241" s="46"/>
      <c r="I241" s="46"/>
      <c r="J241" s="46"/>
      <c r="K241" s="48" t="str">
        <f aca="false">IF(W241="","",HYPERLINK(W241,"Simbli"))</f>
        <v/>
      </c>
      <c r="L241" s="48" t="str">
        <f aca="false">IF(X241="","",HYPERLINK(X241,"Simbli"))</f>
        <v/>
      </c>
      <c r="M241" s="46"/>
      <c r="N241" s="46"/>
      <c r="O241" s="46"/>
      <c r="P241" s="46" t="str">
        <f aca="false">IF(OR(A241="",O241=""),"",O241+RegDays)</f>
        <v/>
      </c>
      <c r="Q241" s="46" t="str">
        <f aca="false">IF(A241="","",IF(SUMPRODUCT(MAX((Versions!$B$2:$B$501=A241)*(Versions!$M$2:$M$501="Yes")*ROW(Versions!$B$2:$B$501)))=0,"",INDEX(Versions!$A$1:$A$501,SUMPRODUCT(MAX((Versions!$B$2:$B$501=A241)*(Versions!$M$2:$M$501="Yes")*ROW(Versions!$B$2:$B$501))))))</f>
        <v/>
      </c>
      <c r="R241" s="46" t="str">
        <f aca="false">IF(A241="","",COUNTIF(Comments!$B$2:$B$2001,A241))</f>
        <v/>
      </c>
      <c r="S241" s="46" t="str">
        <f aca="false">IF(A241="","",COUNTIFS(Comments!$B$2:$B$2001,A241,Comments!$N$2:$N$2001,"Open"))</f>
        <v/>
      </c>
      <c r="T241" s="46" t="str">
        <f aca="false">IF(A241="","",COUNTIFS('Deferred edits'!$C$2:$C$201,A241,'Deferred edits'!$G$2:$G$201,"Waiting"))</f>
        <v/>
      </c>
      <c r="U241" s="46" t="str">
        <f aca="false">IF(A241="","",IF(AND(I241&lt;&gt;"",I241&lt;AsOfDate),"▲ Next date passed",IF(AND(I241&lt;&gt;"",I241&lt;=AsOfDate+7),"● Next date within 7 days",IF(AND(P241&lt;&gt;"",P241&lt;AsOfDate,N241&lt;&gt;"Complete"),"▲ Regulation past target",IF(S241&gt;0,"Open comments","")))))</f>
        <v/>
      </c>
      <c r="V241" s="46"/>
      <c r="W241" s="46"/>
      <c r="X241" s="46"/>
    </row>
    <row r="242" customFormat="false" ht="15" hidden="false" customHeight="false" outlineLevel="0" collapsed="false">
      <c r="A242" s="46"/>
      <c r="B242" s="46"/>
      <c r="C242" s="46"/>
      <c r="D242" s="46"/>
      <c r="E242" s="46"/>
      <c r="F242" s="46"/>
      <c r="G242" s="46"/>
      <c r="H242" s="46"/>
      <c r="I242" s="46"/>
      <c r="J242" s="46"/>
      <c r="K242" s="48" t="str">
        <f aca="false">IF(W242="","",HYPERLINK(W242,"Simbli"))</f>
        <v/>
      </c>
      <c r="L242" s="48" t="str">
        <f aca="false">IF(X242="","",HYPERLINK(X242,"Simbli"))</f>
        <v/>
      </c>
      <c r="M242" s="46"/>
      <c r="N242" s="46"/>
      <c r="O242" s="46"/>
      <c r="P242" s="46" t="str">
        <f aca="false">IF(OR(A242="",O242=""),"",O242+RegDays)</f>
        <v/>
      </c>
      <c r="Q242" s="46" t="str">
        <f aca="false">IF(A242="","",IF(SUMPRODUCT(MAX((Versions!$B$2:$B$501=A242)*(Versions!$M$2:$M$501="Yes")*ROW(Versions!$B$2:$B$501)))=0,"",INDEX(Versions!$A$1:$A$501,SUMPRODUCT(MAX((Versions!$B$2:$B$501=A242)*(Versions!$M$2:$M$501="Yes")*ROW(Versions!$B$2:$B$501))))))</f>
        <v/>
      </c>
      <c r="R242" s="46" t="str">
        <f aca="false">IF(A242="","",COUNTIF(Comments!$B$2:$B$2001,A242))</f>
        <v/>
      </c>
      <c r="S242" s="46" t="str">
        <f aca="false">IF(A242="","",COUNTIFS(Comments!$B$2:$B$2001,A242,Comments!$N$2:$N$2001,"Open"))</f>
        <v/>
      </c>
      <c r="T242" s="46" t="str">
        <f aca="false">IF(A242="","",COUNTIFS('Deferred edits'!$C$2:$C$201,A242,'Deferred edits'!$G$2:$G$201,"Waiting"))</f>
        <v/>
      </c>
      <c r="U242" s="46" t="str">
        <f aca="false">IF(A242="","",IF(AND(I242&lt;&gt;"",I242&lt;AsOfDate),"▲ Next date passed",IF(AND(I242&lt;&gt;"",I242&lt;=AsOfDate+7),"● Next date within 7 days",IF(AND(P242&lt;&gt;"",P242&lt;AsOfDate,N242&lt;&gt;"Complete"),"▲ Regulation past target",IF(S242&gt;0,"Open comments","")))))</f>
        <v/>
      </c>
      <c r="V242" s="46"/>
      <c r="W242" s="46"/>
      <c r="X242" s="46"/>
    </row>
    <row r="243" customFormat="false" ht="15" hidden="false" customHeight="false" outlineLevel="0" collapsed="false">
      <c r="A243" s="46"/>
      <c r="B243" s="46"/>
      <c r="C243" s="46"/>
      <c r="D243" s="46"/>
      <c r="E243" s="46"/>
      <c r="F243" s="46"/>
      <c r="G243" s="46"/>
      <c r="H243" s="46"/>
      <c r="I243" s="46"/>
      <c r="J243" s="46"/>
      <c r="K243" s="48" t="str">
        <f aca="false">IF(W243="","",HYPERLINK(W243,"Simbli"))</f>
        <v/>
      </c>
      <c r="L243" s="48" t="str">
        <f aca="false">IF(X243="","",HYPERLINK(X243,"Simbli"))</f>
        <v/>
      </c>
      <c r="M243" s="46"/>
      <c r="N243" s="46"/>
      <c r="O243" s="46"/>
      <c r="P243" s="46" t="str">
        <f aca="false">IF(OR(A243="",O243=""),"",O243+RegDays)</f>
        <v/>
      </c>
      <c r="Q243" s="46" t="str">
        <f aca="false">IF(A243="","",IF(SUMPRODUCT(MAX((Versions!$B$2:$B$501=A243)*(Versions!$M$2:$M$501="Yes")*ROW(Versions!$B$2:$B$501)))=0,"",INDEX(Versions!$A$1:$A$501,SUMPRODUCT(MAX((Versions!$B$2:$B$501=A243)*(Versions!$M$2:$M$501="Yes")*ROW(Versions!$B$2:$B$501))))))</f>
        <v/>
      </c>
      <c r="R243" s="46" t="str">
        <f aca="false">IF(A243="","",COUNTIF(Comments!$B$2:$B$2001,A243))</f>
        <v/>
      </c>
      <c r="S243" s="46" t="str">
        <f aca="false">IF(A243="","",COUNTIFS(Comments!$B$2:$B$2001,A243,Comments!$N$2:$N$2001,"Open"))</f>
        <v/>
      </c>
      <c r="T243" s="46" t="str">
        <f aca="false">IF(A243="","",COUNTIFS('Deferred edits'!$C$2:$C$201,A243,'Deferred edits'!$G$2:$G$201,"Waiting"))</f>
        <v/>
      </c>
      <c r="U243" s="46" t="str">
        <f aca="false">IF(A243="","",IF(AND(I243&lt;&gt;"",I243&lt;AsOfDate),"▲ Next date passed",IF(AND(I243&lt;&gt;"",I243&lt;=AsOfDate+7),"● Next date within 7 days",IF(AND(P243&lt;&gt;"",P243&lt;AsOfDate,N243&lt;&gt;"Complete"),"▲ Regulation past target",IF(S243&gt;0,"Open comments","")))))</f>
        <v/>
      </c>
      <c r="V243" s="46"/>
      <c r="W243" s="46"/>
      <c r="X243" s="46"/>
    </row>
    <row r="244" customFormat="false" ht="15" hidden="false" customHeight="false" outlineLevel="0" collapsed="false">
      <c r="A244" s="46"/>
      <c r="B244" s="46"/>
      <c r="C244" s="46"/>
      <c r="D244" s="46"/>
      <c r="E244" s="46"/>
      <c r="F244" s="46"/>
      <c r="G244" s="46"/>
      <c r="H244" s="46"/>
      <c r="I244" s="46"/>
      <c r="J244" s="46"/>
      <c r="K244" s="48" t="str">
        <f aca="false">IF(W244="","",HYPERLINK(W244,"Simbli"))</f>
        <v/>
      </c>
      <c r="L244" s="48" t="str">
        <f aca="false">IF(X244="","",HYPERLINK(X244,"Simbli"))</f>
        <v/>
      </c>
      <c r="M244" s="46"/>
      <c r="N244" s="46"/>
      <c r="O244" s="46"/>
      <c r="P244" s="46" t="str">
        <f aca="false">IF(OR(A244="",O244=""),"",O244+RegDays)</f>
        <v/>
      </c>
      <c r="Q244" s="46" t="str">
        <f aca="false">IF(A244="","",IF(SUMPRODUCT(MAX((Versions!$B$2:$B$501=A244)*(Versions!$M$2:$M$501="Yes")*ROW(Versions!$B$2:$B$501)))=0,"",INDEX(Versions!$A$1:$A$501,SUMPRODUCT(MAX((Versions!$B$2:$B$501=A244)*(Versions!$M$2:$M$501="Yes")*ROW(Versions!$B$2:$B$501))))))</f>
        <v/>
      </c>
      <c r="R244" s="46" t="str">
        <f aca="false">IF(A244="","",COUNTIF(Comments!$B$2:$B$2001,A244))</f>
        <v/>
      </c>
      <c r="S244" s="46" t="str">
        <f aca="false">IF(A244="","",COUNTIFS(Comments!$B$2:$B$2001,A244,Comments!$N$2:$N$2001,"Open"))</f>
        <v/>
      </c>
      <c r="T244" s="46" t="str">
        <f aca="false">IF(A244="","",COUNTIFS('Deferred edits'!$C$2:$C$201,A244,'Deferred edits'!$G$2:$G$201,"Waiting"))</f>
        <v/>
      </c>
      <c r="U244" s="46" t="str">
        <f aca="false">IF(A244="","",IF(AND(I244&lt;&gt;"",I244&lt;AsOfDate),"▲ Next date passed",IF(AND(I244&lt;&gt;"",I244&lt;=AsOfDate+7),"● Next date within 7 days",IF(AND(P244&lt;&gt;"",P244&lt;AsOfDate,N244&lt;&gt;"Complete"),"▲ Regulation past target",IF(S244&gt;0,"Open comments","")))))</f>
        <v/>
      </c>
      <c r="V244" s="46"/>
      <c r="W244" s="46"/>
      <c r="X244" s="46"/>
    </row>
    <row r="245" customFormat="false" ht="15" hidden="false" customHeight="false" outlineLevel="0" collapsed="false">
      <c r="A245" s="46"/>
      <c r="B245" s="46"/>
      <c r="C245" s="46"/>
      <c r="D245" s="46"/>
      <c r="E245" s="46"/>
      <c r="F245" s="46"/>
      <c r="G245" s="46"/>
      <c r="H245" s="46"/>
      <c r="I245" s="46"/>
      <c r="J245" s="46"/>
      <c r="K245" s="48" t="str">
        <f aca="false">IF(W245="","",HYPERLINK(W245,"Simbli"))</f>
        <v/>
      </c>
      <c r="L245" s="48" t="str">
        <f aca="false">IF(X245="","",HYPERLINK(X245,"Simbli"))</f>
        <v/>
      </c>
      <c r="M245" s="46"/>
      <c r="N245" s="46"/>
      <c r="O245" s="46"/>
      <c r="P245" s="46" t="str">
        <f aca="false">IF(OR(A245="",O245=""),"",O245+RegDays)</f>
        <v/>
      </c>
      <c r="Q245" s="46" t="str">
        <f aca="false">IF(A245="","",IF(SUMPRODUCT(MAX((Versions!$B$2:$B$501=A245)*(Versions!$M$2:$M$501="Yes")*ROW(Versions!$B$2:$B$501)))=0,"",INDEX(Versions!$A$1:$A$501,SUMPRODUCT(MAX((Versions!$B$2:$B$501=A245)*(Versions!$M$2:$M$501="Yes")*ROW(Versions!$B$2:$B$501))))))</f>
        <v/>
      </c>
      <c r="R245" s="46" t="str">
        <f aca="false">IF(A245="","",COUNTIF(Comments!$B$2:$B$2001,A245))</f>
        <v/>
      </c>
      <c r="S245" s="46" t="str">
        <f aca="false">IF(A245="","",COUNTIFS(Comments!$B$2:$B$2001,A245,Comments!$N$2:$N$2001,"Open"))</f>
        <v/>
      </c>
      <c r="T245" s="46" t="str">
        <f aca="false">IF(A245="","",COUNTIFS('Deferred edits'!$C$2:$C$201,A245,'Deferred edits'!$G$2:$G$201,"Waiting"))</f>
        <v/>
      </c>
      <c r="U245" s="46" t="str">
        <f aca="false">IF(A245="","",IF(AND(I245&lt;&gt;"",I245&lt;AsOfDate),"▲ Next date passed",IF(AND(I245&lt;&gt;"",I245&lt;=AsOfDate+7),"● Next date within 7 days",IF(AND(P245&lt;&gt;"",P245&lt;AsOfDate,N245&lt;&gt;"Complete"),"▲ Regulation past target",IF(S245&gt;0,"Open comments","")))))</f>
        <v/>
      </c>
      <c r="V245" s="46"/>
      <c r="W245" s="46"/>
      <c r="X245" s="46"/>
    </row>
    <row r="246" customFormat="false" ht="15" hidden="false" customHeight="false" outlineLevel="0" collapsed="false">
      <c r="A246" s="46"/>
      <c r="B246" s="46"/>
      <c r="C246" s="46"/>
      <c r="D246" s="46"/>
      <c r="E246" s="46"/>
      <c r="F246" s="46"/>
      <c r="G246" s="46"/>
      <c r="H246" s="46"/>
      <c r="I246" s="46"/>
      <c r="J246" s="46"/>
      <c r="K246" s="48" t="str">
        <f aca="false">IF(W246="","",HYPERLINK(W246,"Simbli"))</f>
        <v/>
      </c>
      <c r="L246" s="48" t="str">
        <f aca="false">IF(X246="","",HYPERLINK(X246,"Simbli"))</f>
        <v/>
      </c>
      <c r="M246" s="46"/>
      <c r="N246" s="46"/>
      <c r="O246" s="46"/>
      <c r="P246" s="46" t="str">
        <f aca="false">IF(OR(A246="",O246=""),"",O246+RegDays)</f>
        <v/>
      </c>
      <c r="Q246" s="46" t="str">
        <f aca="false">IF(A246="","",IF(SUMPRODUCT(MAX((Versions!$B$2:$B$501=A246)*(Versions!$M$2:$M$501="Yes")*ROW(Versions!$B$2:$B$501)))=0,"",INDEX(Versions!$A$1:$A$501,SUMPRODUCT(MAX((Versions!$B$2:$B$501=A246)*(Versions!$M$2:$M$501="Yes")*ROW(Versions!$B$2:$B$501))))))</f>
        <v/>
      </c>
      <c r="R246" s="46" t="str">
        <f aca="false">IF(A246="","",COUNTIF(Comments!$B$2:$B$2001,A246))</f>
        <v/>
      </c>
      <c r="S246" s="46" t="str">
        <f aca="false">IF(A246="","",COUNTIFS(Comments!$B$2:$B$2001,A246,Comments!$N$2:$N$2001,"Open"))</f>
        <v/>
      </c>
      <c r="T246" s="46" t="str">
        <f aca="false">IF(A246="","",COUNTIFS('Deferred edits'!$C$2:$C$201,A246,'Deferred edits'!$G$2:$G$201,"Waiting"))</f>
        <v/>
      </c>
      <c r="U246" s="46" t="str">
        <f aca="false">IF(A246="","",IF(AND(I246&lt;&gt;"",I246&lt;AsOfDate),"▲ Next date passed",IF(AND(I246&lt;&gt;"",I246&lt;=AsOfDate+7),"● Next date within 7 days",IF(AND(P246&lt;&gt;"",P246&lt;AsOfDate,N246&lt;&gt;"Complete"),"▲ Regulation past target",IF(S246&gt;0,"Open comments","")))))</f>
        <v/>
      </c>
      <c r="V246" s="46"/>
      <c r="W246" s="46"/>
      <c r="X246" s="46"/>
    </row>
    <row r="247" customFormat="false" ht="15" hidden="false" customHeight="false" outlineLevel="0" collapsed="false">
      <c r="A247" s="46"/>
      <c r="B247" s="46"/>
      <c r="C247" s="46"/>
      <c r="D247" s="46"/>
      <c r="E247" s="46"/>
      <c r="F247" s="46"/>
      <c r="G247" s="46"/>
      <c r="H247" s="46"/>
      <c r="I247" s="46"/>
      <c r="J247" s="46"/>
      <c r="K247" s="48" t="str">
        <f aca="false">IF(W247="","",HYPERLINK(W247,"Simbli"))</f>
        <v/>
      </c>
      <c r="L247" s="48" t="str">
        <f aca="false">IF(X247="","",HYPERLINK(X247,"Simbli"))</f>
        <v/>
      </c>
      <c r="M247" s="46"/>
      <c r="N247" s="46"/>
      <c r="O247" s="46"/>
      <c r="P247" s="46" t="str">
        <f aca="false">IF(OR(A247="",O247=""),"",O247+RegDays)</f>
        <v/>
      </c>
      <c r="Q247" s="46" t="str">
        <f aca="false">IF(A247="","",IF(SUMPRODUCT(MAX((Versions!$B$2:$B$501=A247)*(Versions!$M$2:$M$501="Yes")*ROW(Versions!$B$2:$B$501)))=0,"",INDEX(Versions!$A$1:$A$501,SUMPRODUCT(MAX((Versions!$B$2:$B$501=A247)*(Versions!$M$2:$M$501="Yes")*ROW(Versions!$B$2:$B$501))))))</f>
        <v/>
      </c>
      <c r="R247" s="46" t="str">
        <f aca="false">IF(A247="","",COUNTIF(Comments!$B$2:$B$2001,A247))</f>
        <v/>
      </c>
      <c r="S247" s="46" t="str">
        <f aca="false">IF(A247="","",COUNTIFS(Comments!$B$2:$B$2001,A247,Comments!$N$2:$N$2001,"Open"))</f>
        <v/>
      </c>
      <c r="T247" s="46" t="str">
        <f aca="false">IF(A247="","",COUNTIFS('Deferred edits'!$C$2:$C$201,A247,'Deferred edits'!$G$2:$G$201,"Waiting"))</f>
        <v/>
      </c>
      <c r="U247" s="46" t="str">
        <f aca="false">IF(A247="","",IF(AND(I247&lt;&gt;"",I247&lt;AsOfDate),"▲ Next date passed",IF(AND(I247&lt;&gt;"",I247&lt;=AsOfDate+7),"● Next date within 7 days",IF(AND(P247&lt;&gt;"",P247&lt;AsOfDate,N247&lt;&gt;"Complete"),"▲ Regulation past target",IF(S247&gt;0,"Open comments","")))))</f>
        <v/>
      </c>
      <c r="V247" s="46"/>
      <c r="W247" s="46"/>
      <c r="X247" s="46"/>
    </row>
    <row r="248" customFormat="false" ht="15" hidden="false" customHeight="false" outlineLevel="0" collapsed="false">
      <c r="A248" s="46"/>
      <c r="B248" s="46"/>
      <c r="C248" s="46"/>
      <c r="D248" s="46"/>
      <c r="E248" s="46"/>
      <c r="F248" s="46"/>
      <c r="G248" s="46"/>
      <c r="H248" s="46"/>
      <c r="I248" s="46"/>
      <c r="J248" s="46"/>
      <c r="K248" s="48" t="str">
        <f aca="false">IF(W248="","",HYPERLINK(W248,"Simbli"))</f>
        <v/>
      </c>
      <c r="L248" s="48" t="str">
        <f aca="false">IF(X248="","",HYPERLINK(X248,"Simbli"))</f>
        <v/>
      </c>
      <c r="M248" s="46"/>
      <c r="N248" s="46"/>
      <c r="O248" s="46"/>
      <c r="P248" s="46" t="str">
        <f aca="false">IF(OR(A248="",O248=""),"",O248+RegDays)</f>
        <v/>
      </c>
      <c r="Q248" s="46" t="str">
        <f aca="false">IF(A248="","",IF(SUMPRODUCT(MAX((Versions!$B$2:$B$501=A248)*(Versions!$M$2:$M$501="Yes")*ROW(Versions!$B$2:$B$501)))=0,"",INDEX(Versions!$A$1:$A$501,SUMPRODUCT(MAX((Versions!$B$2:$B$501=A248)*(Versions!$M$2:$M$501="Yes")*ROW(Versions!$B$2:$B$501))))))</f>
        <v/>
      </c>
      <c r="R248" s="46" t="str">
        <f aca="false">IF(A248="","",COUNTIF(Comments!$B$2:$B$2001,A248))</f>
        <v/>
      </c>
      <c r="S248" s="46" t="str">
        <f aca="false">IF(A248="","",COUNTIFS(Comments!$B$2:$B$2001,A248,Comments!$N$2:$N$2001,"Open"))</f>
        <v/>
      </c>
      <c r="T248" s="46" t="str">
        <f aca="false">IF(A248="","",COUNTIFS('Deferred edits'!$C$2:$C$201,A248,'Deferred edits'!$G$2:$G$201,"Waiting"))</f>
        <v/>
      </c>
      <c r="U248" s="46" t="str">
        <f aca="false">IF(A248="","",IF(AND(I248&lt;&gt;"",I248&lt;AsOfDate),"▲ Next date passed",IF(AND(I248&lt;&gt;"",I248&lt;=AsOfDate+7),"● Next date within 7 days",IF(AND(P248&lt;&gt;"",P248&lt;AsOfDate,N248&lt;&gt;"Complete"),"▲ Regulation past target",IF(S248&gt;0,"Open comments","")))))</f>
        <v/>
      </c>
      <c r="V248" s="46"/>
      <c r="W248" s="46"/>
      <c r="X248" s="46"/>
    </row>
    <row r="249" customFormat="false" ht="15" hidden="false" customHeight="false" outlineLevel="0" collapsed="false">
      <c r="A249" s="46"/>
      <c r="B249" s="46"/>
      <c r="C249" s="46"/>
      <c r="D249" s="46"/>
      <c r="E249" s="46"/>
      <c r="F249" s="46"/>
      <c r="G249" s="46"/>
      <c r="H249" s="46"/>
      <c r="I249" s="46"/>
      <c r="J249" s="46"/>
      <c r="K249" s="48" t="str">
        <f aca="false">IF(W249="","",HYPERLINK(W249,"Simbli"))</f>
        <v/>
      </c>
      <c r="L249" s="48" t="str">
        <f aca="false">IF(X249="","",HYPERLINK(X249,"Simbli"))</f>
        <v/>
      </c>
      <c r="M249" s="46"/>
      <c r="N249" s="46"/>
      <c r="O249" s="46"/>
      <c r="P249" s="46" t="str">
        <f aca="false">IF(OR(A249="",O249=""),"",O249+RegDays)</f>
        <v/>
      </c>
      <c r="Q249" s="46" t="str">
        <f aca="false">IF(A249="","",IF(SUMPRODUCT(MAX((Versions!$B$2:$B$501=A249)*(Versions!$M$2:$M$501="Yes")*ROW(Versions!$B$2:$B$501)))=0,"",INDEX(Versions!$A$1:$A$501,SUMPRODUCT(MAX((Versions!$B$2:$B$501=A249)*(Versions!$M$2:$M$501="Yes")*ROW(Versions!$B$2:$B$501))))))</f>
        <v/>
      </c>
      <c r="R249" s="46" t="str">
        <f aca="false">IF(A249="","",COUNTIF(Comments!$B$2:$B$2001,A249))</f>
        <v/>
      </c>
      <c r="S249" s="46" t="str">
        <f aca="false">IF(A249="","",COUNTIFS(Comments!$B$2:$B$2001,A249,Comments!$N$2:$N$2001,"Open"))</f>
        <v/>
      </c>
      <c r="T249" s="46" t="str">
        <f aca="false">IF(A249="","",COUNTIFS('Deferred edits'!$C$2:$C$201,A249,'Deferred edits'!$G$2:$G$201,"Waiting"))</f>
        <v/>
      </c>
      <c r="U249" s="46" t="str">
        <f aca="false">IF(A249="","",IF(AND(I249&lt;&gt;"",I249&lt;AsOfDate),"▲ Next date passed",IF(AND(I249&lt;&gt;"",I249&lt;=AsOfDate+7),"● Next date within 7 days",IF(AND(P249&lt;&gt;"",P249&lt;AsOfDate,N249&lt;&gt;"Complete"),"▲ Regulation past target",IF(S249&gt;0,"Open comments","")))))</f>
        <v/>
      </c>
      <c r="V249" s="46"/>
      <c r="W249" s="46"/>
      <c r="X249" s="46"/>
    </row>
    <row r="250" customFormat="false" ht="15" hidden="false" customHeight="false" outlineLevel="0" collapsed="false">
      <c r="A250" s="46"/>
      <c r="B250" s="46"/>
      <c r="C250" s="46"/>
      <c r="D250" s="46"/>
      <c r="E250" s="46"/>
      <c r="F250" s="46"/>
      <c r="G250" s="46"/>
      <c r="H250" s="46"/>
      <c r="I250" s="46"/>
      <c r="J250" s="46"/>
      <c r="K250" s="48" t="str">
        <f aca="false">IF(W250="","",HYPERLINK(W250,"Simbli"))</f>
        <v/>
      </c>
      <c r="L250" s="48" t="str">
        <f aca="false">IF(X250="","",HYPERLINK(X250,"Simbli"))</f>
        <v/>
      </c>
      <c r="M250" s="46"/>
      <c r="N250" s="46"/>
      <c r="O250" s="46"/>
      <c r="P250" s="46" t="str">
        <f aca="false">IF(OR(A250="",O250=""),"",O250+RegDays)</f>
        <v/>
      </c>
      <c r="Q250" s="46" t="str">
        <f aca="false">IF(A250="","",IF(SUMPRODUCT(MAX((Versions!$B$2:$B$501=A250)*(Versions!$M$2:$M$501="Yes")*ROW(Versions!$B$2:$B$501)))=0,"",INDEX(Versions!$A$1:$A$501,SUMPRODUCT(MAX((Versions!$B$2:$B$501=A250)*(Versions!$M$2:$M$501="Yes")*ROW(Versions!$B$2:$B$501))))))</f>
        <v/>
      </c>
      <c r="R250" s="46" t="str">
        <f aca="false">IF(A250="","",COUNTIF(Comments!$B$2:$B$2001,A250))</f>
        <v/>
      </c>
      <c r="S250" s="46" t="str">
        <f aca="false">IF(A250="","",COUNTIFS(Comments!$B$2:$B$2001,A250,Comments!$N$2:$N$2001,"Open"))</f>
        <v/>
      </c>
      <c r="T250" s="46" t="str">
        <f aca="false">IF(A250="","",COUNTIFS('Deferred edits'!$C$2:$C$201,A250,'Deferred edits'!$G$2:$G$201,"Waiting"))</f>
        <v/>
      </c>
      <c r="U250" s="46" t="str">
        <f aca="false">IF(A250="","",IF(AND(I250&lt;&gt;"",I250&lt;AsOfDate),"▲ Next date passed",IF(AND(I250&lt;&gt;"",I250&lt;=AsOfDate+7),"● Next date within 7 days",IF(AND(P250&lt;&gt;"",P250&lt;AsOfDate,N250&lt;&gt;"Complete"),"▲ Regulation past target",IF(S250&gt;0,"Open comments","")))))</f>
        <v/>
      </c>
      <c r="V250" s="46"/>
      <c r="W250" s="46"/>
      <c r="X250" s="46"/>
    </row>
    <row r="251" customFormat="false" ht="15" hidden="false" customHeight="false" outlineLevel="0" collapsed="false">
      <c r="A251" s="46"/>
      <c r="B251" s="46"/>
      <c r="C251" s="46"/>
      <c r="D251" s="46"/>
      <c r="E251" s="46"/>
      <c r="F251" s="46"/>
      <c r="G251" s="46"/>
      <c r="H251" s="46"/>
      <c r="I251" s="46"/>
      <c r="J251" s="46"/>
      <c r="K251" s="48" t="str">
        <f aca="false">IF(W251="","",HYPERLINK(W251,"Simbli"))</f>
        <v/>
      </c>
      <c r="L251" s="48" t="str">
        <f aca="false">IF(X251="","",HYPERLINK(X251,"Simbli"))</f>
        <v/>
      </c>
      <c r="M251" s="46"/>
      <c r="N251" s="46"/>
      <c r="O251" s="46"/>
      <c r="P251" s="46" t="str">
        <f aca="false">IF(OR(A251="",O251=""),"",O251+RegDays)</f>
        <v/>
      </c>
      <c r="Q251" s="46" t="str">
        <f aca="false">IF(A251="","",IF(SUMPRODUCT(MAX((Versions!$B$2:$B$501=A251)*(Versions!$M$2:$M$501="Yes")*ROW(Versions!$B$2:$B$501)))=0,"",INDEX(Versions!$A$1:$A$501,SUMPRODUCT(MAX((Versions!$B$2:$B$501=A251)*(Versions!$M$2:$M$501="Yes")*ROW(Versions!$B$2:$B$501))))))</f>
        <v/>
      </c>
      <c r="R251" s="46" t="str">
        <f aca="false">IF(A251="","",COUNTIF(Comments!$B$2:$B$2001,A251))</f>
        <v/>
      </c>
      <c r="S251" s="46" t="str">
        <f aca="false">IF(A251="","",COUNTIFS(Comments!$B$2:$B$2001,A251,Comments!$N$2:$N$2001,"Open"))</f>
        <v/>
      </c>
      <c r="T251" s="46" t="str">
        <f aca="false">IF(A251="","",COUNTIFS('Deferred edits'!$C$2:$C$201,A251,'Deferred edits'!$G$2:$G$201,"Waiting"))</f>
        <v/>
      </c>
      <c r="U251" s="46" t="str">
        <f aca="false">IF(A251="","",IF(AND(I251&lt;&gt;"",I251&lt;AsOfDate),"▲ Next date passed",IF(AND(I251&lt;&gt;"",I251&lt;=AsOfDate+7),"● Next date within 7 days",IF(AND(P251&lt;&gt;"",P251&lt;AsOfDate,N251&lt;&gt;"Complete"),"▲ Regulation past target",IF(S251&gt;0,"Open comments","")))))</f>
        <v/>
      </c>
      <c r="V251" s="46"/>
      <c r="W251" s="46"/>
      <c r="X251" s="46"/>
    </row>
  </sheetData>
  <conditionalFormatting sqref="U2:U251">
    <cfRule type="expression" priority="2" aboveAverage="0" equalAverage="0" bottom="0" percent="0" rank="0" text="" dxfId="4">
      <formula>U2&lt;&gt;""</formula>
    </cfRule>
  </conditionalFormatting>
  <conditionalFormatting sqref="E2:E251">
    <cfRule type="expression" priority="3" aboveAverage="0" equalAverage="0" bottom="0" percent="0" rank="0" text="" dxfId="0">
      <formula>OR(E2="Ready for action",E2="Second read",E2="First read: comment window")</formula>
    </cfRule>
    <cfRule type="expression" priority="4" aboveAverage="0" equalAverage="0" bottom="0" percent="0" rank="0" text="" dxfId="1">
      <formula>OR(E2="Back in committee",E2="Committee review")</formula>
    </cfRule>
    <cfRule type="expression" priority="5" aboveAverage="0" equalAverage="0" bottom="0" percent="0" rank="0" text="" dxfId="2">
      <formula>OR(E2="Held",E2="Drafting",E2="Regulation work")</formula>
    </cfRule>
    <cfRule type="expression" priority="6" aboveAverage="0" equalAverage="0" bottom="0" percent="0" rank="0" text="" dxfId="3">
      <formula>OR(E2="Adopted",E2="Withdrawn")</formula>
    </cfRule>
  </conditionalFormatting>
  <conditionalFormatting sqref="A2:A251">
    <cfRule type="expression" priority="7" aboveAverage="0" equalAverage="0" bottom="0" percent="0" rank="0" text="" dxfId="4">
      <formula>AND(A2&lt;&gt;"",COUNTIF($A$2:$A$251,A2)&gt;1)</formula>
    </cfRule>
  </conditionalFormatting>
  <conditionalFormatting sqref="I2:I251">
    <cfRule type="expression" priority="8" aboveAverage="0" equalAverage="0" bottom="0" percent="0" rank="0" text="" dxfId="4">
      <formula>AND(I2&lt;&gt;"",I2&lt;=AsOfDate+7)</formula>
    </cfRule>
  </conditionalFormatting>
  <dataValidations count="4">
    <dataValidation allowBlank="true" errorStyle="stop" operator="between" showDropDown="false" showErrorMessage="false" showInputMessage="false" sqref="E2:E251" type="list">
      <formula1>Lists!$A$2:$A$11</formula1>
      <formula2>0</formula2>
    </dataValidation>
    <dataValidation allowBlank="true" errorStyle="stop" operator="between" showDropDown="false" showErrorMessage="false" showInputMessage="false" sqref="N2:N251" type="list">
      <formula1>Lists!$E$2:$E$10</formula1>
      <formula2>0</formula2>
    </dataValidation>
    <dataValidation allowBlank="true" errorStyle="stop" operator="between" showDropDown="false" showErrorMessage="false" showInputMessage="false" sqref="C2:C251" type="list">
      <formula1>"Policy (new),Policy (revision),Regulation"</formula1>
      <formula2>0</formula2>
    </dataValidation>
    <dataValidation allowBlank="true" error="This code already has a row in Drafts. To reopen it, change that row's stage instead of adding a new row." errorStyle="stop" errorTitle="Code already has a row" operator="between" showDropDown="false" showErrorMessage="true" showInputMessage="false" sqref="A2:A251" type="custom">
      <formula1>COUNTIF($A$2:$A$251,A2)=1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9"/>
    <col collapsed="false" customWidth="true" hidden="false" outlineLevel="0" max="3" min="3" style="0" width="12"/>
    <col collapsed="false" customWidth="true" hidden="false" outlineLevel="0" max="4" min="4" style="0" width="13"/>
    <col collapsed="false" customWidth="true" hidden="false" outlineLevel="0" max="5" min="5" style="0" width="20"/>
    <col collapsed="false" customWidth="true" hidden="false" outlineLevel="0" max="6" min="6" style="0" width="22"/>
    <col collapsed="false" customWidth="true" hidden="false" outlineLevel="0" max="7" min="7" style="0" width="18"/>
    <col collapsed="false" customWidth="true" hidden="false" outlineLevel="0" max="8" min="8" style="0" width="48"/>
    <col collapsed="false" customWidth="true" hidden="false" outlineLevel="0" max="9" min="9" style="0" width="22"/>
    <col collapsed="false" customWidth="true" hidden="false" outlineLevel="0" max="10" min="10" style="0" width="46"/>
    <col collapsed="false" customWidth="true" hidden="false" outlineLevel="0" max="11" min="11" style="0" width="18"/>
    <col collapsed="false" customWidth="true" hidden="false" outlineLevel="0" max="12" min="12" style="0" width="12"/>
    <col collapsed="false" customWidth="true" hidden="false" outlineLevel="0" max="13" min="13" style="0" width="28"/>
    <col collapsed="false" customWidth="true" hidden="false" outlineLevel="0" max="14" min="14" style="0" width="9"/>
    <col collapsed="false" customWidth="true" hidden="false" outlineLevel="0" max="15" min="15" style="0" width="26"/>
    <col collapsed="false" customWidth="true" hidden="false" outlineLevel="0" max="16" min="16" style="0" width="18"/>
  </cols>
  <sheetData>
    <row r="1" customFormat="false" ht="31.5" hidden="false" customHeight="true" outlineLevel="0" collapsed="false">
      <c r="A1" s="44" t="s">
        <v>220</v>
      </c>
      <c r="B1" s="44" t="s">
        <v>101</v>
      </c>
      <c r="C1" s="44" t="s">
        <v>221</v>
      </c>
      <c r="D1" s="44" t="s">
        <v>222</v>
      </c>
      <c r="E1" s="44" t="s">
        <v>223</v>
      </c>
      <c r="F1" s="44" t="s">
        <v>224</v>
      </c>
      <c r="G1" s="44" t="s">
        <v>225</v>
      </c>
      <c r="H1" s="44" t="s">
        <v>226</v>
      </c>
      <c r="I1" s="44" t="s">
        <v>227</v>
      </c>
      <c r="J1" s="44" t="s">
        <v>228</v>
      </c>
      <c r="K1" s="44" t="s">
        <v>229</v>
      </c>
      <c r="L1" s="44" t="s">
        <v>230</v>
      </c>
      <c r="M1" s="45" t="s">
        <v>231</v>
      </c>
      <c r="N1" s="45" t="s">
        <v>232</v>
      </c>
      <c r="O1" s="44" t="s">
        <v>122</v>
      </c>
      <c r="P1" s="45" t="s">
        <v>233</v>
      </c>
    </row>
    <row r="2" customFormat="false" ht="23.85" hidden="false" customHeight="false" outlineLevel="0" collapsed="false">
      <c r="A2" s="46" t="s">
        <v>234</v>
      </c>
      <c r="B2" s="46" t="s">
        <v>163</v>
      </c>
      <c r="C2" s="47" t="n">
        <v>46198</v>
      </c>
      <c r="D2" s="46" t="s">
        <v>235</v>
      </c>
      <c r="E2" s="46" t="s">
        <v>236</v>
      </c>
      <c r="F2" s="46" t="s">
        <v>237</v>
      </c>
      <c r="G2" s="46" t="s">
        <v>238</v>
      </c>
      <c r="H2" s="46" t="s">
        <v>239</v>
      </c>
      <c r="I2" s="46" t="s">
        <v>240</v>
      </c>
      <c r="J2" s="46" t="s">
        <v>241</v>
      </c>
      <c r="K2" s="46" t="s">
        <v>242</v>
      </c>
      <c r="L2" s="47" t="n">
        <v>46198</v>
      </c>
      <c r="M2" s="46" t="str">
        <f aca="false">IF(OR(B2="",I2=""),"",IFERROR(INDEX('Comment flow'!$C$40:$C$46,MATCH(I2,'Comment flow'!$A$40:$A$46,0)),""))</f>
        <v>The regulation draft for that policy</v>
      </c>
      <c r="N2" s="46" t="str">
        <f aca="false">IF(B2="","",IF(OR(I2="",I2="Open: needs a decision",L2=""),"Open","Closed"))</f>
        <v>Closed</v>
      </c>
      <c r="O2" s="46" t="s">
        <v>243</v>
      </c>
      <c r="P2" s="46" t="str">
        <f aca="false">IF(OR(B2="",I2&lt;&gt;"Save for a later revision"),"",IF(COUNTIF('Deferred edits'!$K$2:$K$201,A2)&gt;0,"Yes","● Add to Deferred edits"))</f>
        <v/>
      </c>
    </row>
    <row r="3" customFormat="false" ht="23.85" hidden="false" customHeight="false" outlineLevel="0" collapsed="false">
      <c r="A3" s="46" t="s">
        <v>244</v>
      </c>
      <c r="B3" s="46" t="s">
        <v>163</v>
      </c>
      <c r="C3" s="47" t="n">
        <v>46198</v>
      </c>
      <c r="D3" s="46" t="s">
        <v>235</v>
      </c>
      <c r="E3" s="46" t="s">
        <v>236</v>
      </c>
      <c r="F3" s="46" t="s">
        <v>237</v>
      </c>
      <c r="G3" s="46" t="s">
        <v>245</v>
      </c>
      <c r="H3" s="46" t="s">
        <v>246</v>
      </c>
      <c r="I3" s="46" t="s">
        <v>240</v>
      </c>
      <c r="J3" s="46" t="s">
        <v>247</v>
      </c>
      <c r="K3" s="46" t="s">
        <v>242</v>
      </c>
      <c r="L3" s="47" t="n">
        <v>46198</v>
      </c>
      <c r="M3" s="46" t="str">
        <f aca="false">IF(OR(B3="",I3=""),"",IFERROR(INDEX('Comment flow'!$C$40:$C$46,MATCH(I3,'Comment flow'!$A$40:$A$46,0)),""))</f>
        <v>The regulation draft for that policy</v>
      </c>
      <c r="N3" s="46" t="str">
        <f aca="false">IF(B3="","",IF(OR(I3="",I3="Open: needs a decision",L3=""),"Open","Closed"))</f>
        <v>Closed</v>
      </c>
      <c r="O3" s="46" t="s">
        <v>243</v>
      </c>
      <c r="P3" s="46" t="str">
        <f aca="false">IF(OR(B3="",I3&lt;&gt;"Save for a later revision"),"",IF(COUNTIF('Deferred edits'!$K$2:$K$201,A3)&gt;0,"Yes","● Add to Deferred edits"))</f>
        <v/>
      </c>
    </row>
    <row r="4" customFormat="false" ht="35.05" hidden="false" customHeight="false" outlineLevel="0" collapsed="false">
      <c r="A4" s="46" t="s">
        <v>248</v>
      </c>
      <c r="B4" s="46" t="s">
        <v>249</v>
      </c>
      <c r="C4" s="47" t="n">
        <v>46244</v>
      </c>
      <c r="D4" s="46" t="s">
        <v>235</v>
      </c>
      <c r="E4" s="46" t="s">
        <v>236</v>
      </c>
      <c r="F4" s="46" t="s">
        <v>237</v>
      </c>
      <c r="G4" s="46" t="s">
        <v>245</v>
      </c>
      <c r="H4" s="46" t="s">
        <v>250</v>
      </c>
      <c r="I4" s="46" t="s">
        <v>251</v>
      </c>
      <c r="J4" s="46" t="s">
        <v>252</v>
      </c>
      <c r="K4" s="46" t="s">
        <v>242</v>
      </c>
      <c r="L4" s="47" t="n">
        <v>46260</v>
      </c>
      <c r="M4" s="46" t="str">
        <f aca="false">IF(OR(B4="",I4=""),"",IFERROR(INDEX('Comment flow'!$C$40:$C$46,MATCH(I4,'Comment flow'!$A$40:$A$46,0)),""))</f>
        <v>Response recorded in the log</v>
      </c>
      <c r="N4" s="46" t="str">
        <f aca="false">IF(B4="","",IF(OR(I4="",I4="Open: needs a decision",L4=""),"Open","Closed"))</f>
        <v>Closed</v>
      </c>
      <c r="O4" s="46" t="s">
        <v>202</v>
      </c>
      <c r="P4" s="46" t="str">
        <f aca="false">IF(OR(B4="",I4&lt;&gt;"Save for a later revision"),"",IF(COUNTIF('Deferred edits'!$K$2:$K$201,A4)&gt;0,"Yes","● Add to Deferred edits"))</f>
        <v/>
      </c>
    </row>
    <row r="5" customFormat="false" ht="35.05" hidden="false" customHeight="false" outlineLevel="0" collapsed="false">
      <c r="A5" s="46" t="s">
        <v>253</v>
      </c>
      <c r="B5" s="46" t="s">
        <v>203</v>
      </c>
      <c r="C5" s="47" t="n">
        <v>46260</v>
      </c>
      <c r="D5" s="46" t="s">
        <v>254</v>
      </c>
      <c r="E5" s="46" t="s">
        <v>255</v>
      </c>
      <c r="F5" s="46" t="s">
        <v>256</v>
      </c>
      <c r="G5" s="46" t="s">
        <v>257</v>
      </c>
      <c r="H5" s="46" t="s">
        <v>258</v>
      </c>
      <c r="I5" s="46" t="s">
        <v>240</v>
      </c>
      <c r="J5" s="46" t="s">
        <v>259</v>
      </c>
      <c r="K5" s="46" t="s">
        <v>242</v>
      </c>
      <c r="L5" s="47" t="n">
        <v>46260</v>
      </c>
      <c r="M5" s="46" t="str">
        <f aca="false">IF(OR(B5="",I5=""),"",IFERROR(INDEX('Comment flow'!$C$40:$C$46,MATCH(I5,'Comment flow'!$A$40:$A$46,0)),""))</f>
        <v>The regulation draft for that policy</v>
      </c>
      <c r="N5" s="46" t="str">
        <f aca="false">IF(B5="","",IF(OR(I5="",I5="Open: needs a decision",L5=""),"Open","Closed"))</f>
        <v>Closed</v>
      </c>
      <c r="O5" s="46" t="s">
        <v>202</v>
      </c>
      <c r="P5" s="46" t="str">
        <f aca="false">IF(OR(B5="",I5&lt;&gt;"Save for a later revision"),"",IF(COUNTIF('Deferred edits'!$K$2:$K$201,A5)&gt;0,"Yes","● Add to Deferred edits"))</f>
        <v/>
      </c>
    </row>
    <row r="6" customFormat="false" ht="23.85" hidden="false" customHeight="false" outlineLevel="0" collapsed="false">
      <c r="A6" s="46" t="s">
        <v>260</v>
      </c>
      <c r="B6" s="46" t="s">
        <v>125</v>
      </c>
      <c r="C6" s="47" t="n">
        <v>46273</v>
      </c>
      <c r="D6" s="46" t="s">
        <v>235</v>
      </c>
      <c r="E6" s="46" t="s">
        <v>236</v>
      </c>
      <c r="F6" s="46" t="s">
        <v>261</v>
      </c>
      <c r="G6" s="46" t="s">
        <v>262</v>
      </c>
      <c r="H6" s="46" t="s">
        <v>263</v>
      </c>
      <c r="I6" s="46" t="s">
        <v>240</v>
      </c>
      <c r="J6" s="46" t="s">
        <v>264</v>
      </c>
      <c r="K6" s="46" t="s">
        <v>128</v>
      </c>
      <c r="L6" s="47" t="n">
        <v>46289</v>
      </c>
      <c r="M6" s="46" t="str">
        <f aca="false">IF(OR(B6="",I6=""),"",IFERROR(INDEX('Comment flow'!$C$40:$C$46,MATCH(I6,'Comment flow'!$A$40:$A$46,0)),""))</f>
        <v>The regulation draft for that policy</v>
      </c>
      <c r="N6" s="46" t="str">
        <f aca="false">IF(B6="","",IF(OR(I6="",I6="Open: needs a decision",L6=""),"Open","Closed"))</f>
        <v>Closed</v>
      </c>
      <c r="O6" s="46" t="s">
        <v>187</v>
      </c>
      <c r="P6" s="46" t="str">
        <f aca="false">IF(OR(B6="",I6&lt;&gt;"Save for a later revision"),"",IF(COUNTIF('Deferred edits'!$K$2:$K$201,A6)&gt;0,"Yes","● Add to Deferred edits"))</f>
        <v/>
      </c>
    </row>
    <row r="7" customFormat="false" ht="23.85" hidden="false" customHeight="false" outlineLevel="0" collapsed="false">
      <c r="A7" s="46" t="s">
        <v>265</v>
      </c>
      <c r="B7" s="46" t="s">
        <v>125</v>
      </c>
      <c r="C7" s="47" t="n">
        <v>46288</v>
      </c>
      <c r="D7" s="46" t="s">
        <v>235</v>
      </c>
      <c r="E7" s="46" t="s">
        <v>236</v>
      </c>
      <c r="F7" s="46" t="s">
        <v>261</v>
      </c>
      <c r="G7" s="46" t="s">
        <v>245</v>
      </c>
      <c r="H7" s="46" t="s">
        <v>266</v>
      </c>
      <c r="I7" s="46" t="s">
        <v>267</v>
      </c>
      <c r="J7" s="46" t="s">
        <v>268</v>
      </c>
      <c r="K7" s="46" t="s">
        <v>128</v>
      </c>
      <c r="L7" s="47" t="n">
        <v>46289</v>
      </c>
      <c r="M7" s="46" t="str">
        <f aca="false">IF(OR(B7="",I7=""),"",IFERROR(INDEX('Comment flow'!$C$40:$C$46,MATCH(I7,'Comment flow'!$A$40:$A$46,0)),""))</f>
        <v>Counted in the log</v>
      </c>
      <c r="N7" s="46" t="str">
        <f aca="false">IF(B7="","",IF(OR(I7="",I7="Open: needs a decision",L7=""),"Open","Closed"))</f>
        <v>Closed</v>
      </c>
      <c r="O7" s="46" t="s">
        <v>187</v>
      </c>
      <c r="P7" s="46" t="str">
        <f aca="false">IF(OR(B7="",I7&lt;&gt;"Save for a later revision"),"",IF(COUNTIF('Deferred edits'!$K$2:$K$201,A7)&gt;0,"Yes","● Add to Deferred edits"))</f>
        <v/>
      </c>
    </row>
    <row r="8" customFormat="false" ht="23.85" hidden="false" customHeight="false" outlineLevel="0" collapsed="false">
      <c r="A8" s="46" t="s">
        <v>269</v>
      </c>
      <c r="B8" s="46" t="s">
        <v>125</v>
      </c>
      <c r="C8" s="47" t="n">
        <v>46289</v>
      </c>
      <c r="D8" s="46" t="s">
        <v>254</v>
      </c>
      <c r="E8" s="46" t="s">
        <v>270</v>
      </c>
      <c r="F8" s="46" t="s">
        <v>261</v>
      </c>
      <c r="G8" s="46" t="s">
        <v>245</v>
      </c>
      <c r="H8" s="46" t="s">
        <v>271</v>
      </c>
      <c r="I8" s="46" t="s">
        <v>272</v>
      </c>
      <c r="J8" s="46" t="s">
        <v>273</v>
      </c>
      <c r="K8" s="46" t="s">
        <v>274</v>
      </c>
      <c r="L8" s="46"/>
      <c r="M8" s="46" t="str">
        <f aca="false">IF(OR(B8="",I8=""),"",IFERROR(INDEX('Comment flow'!$C$40:$C$46,MATCH(I8,'Comment flow'!$A$40:$A$46,0)),""))</f>
        <v>The next committee agenda</v>
      </c>
      <c r="N8" s="46" t="str">
        <f aca="false">IF(B8="","",IF(OR(I8="",I8="Open: needs a decision",L8=""),"Open","Closed"))</f>
        <v>Open</v>
      </c>
      <c r="O8" s="46" t="s">
        <v>275</v>
      </c>
      <c r="P8" s="46" t="str">
        <f aca="false">IF(OR(B8="",I8&lt;&gt;"Save for a later revision"),"",IF(COUNTIF('Deferred edits'!$K$2:$K$201,A8)&gt;0,"Yes","● Add to Deferred edits"))</f>
        <v/>
      </c>
    </row>
    <row r="9" customFormat="false" ht="35.05" hidden="false" customHeight="false" outlineLevel="0" collapsed="false">
      <c r="A9" s="46" t="s">
        <v>276</v>
      </c>
      <c r="B9" s="46" t="s">
        <v>70</v>
      </c>
      <c r="C9" s="47" t="n">
        <v>46295</v>
      </c>
      <c r="D9" s="46" t="s">
        <v>254</v>
      </c>
      <c r="E9" s="46" t="s">
        <v>277</v>
      </c>
      <c r="F9" s="46" t="s">
        <v>261</v>
      </c>
      <c r="G9" s="46" t="s">
        <v>278</v>
      </c>
      <c r="H9" s="46" t="s">
        <v>279</v>
      </c>
      <c r="I9" s="46" t="s">
        <v>280</v>
      </c>
      <c r="J9" s="46" t="s">
        <v>281</v>
      </c>
      <c r="K9" s="46" t="s">
        <v>242</v>
      </c>
      <c r="L9" s="47" t="n">
        <v>46296</v>
      </c>
      <c r="M9" s="46" t="str">
        <f aca="false">IF(OR(B9="",I9=""),"",IFERROR(INDEX('Comment flow'!$C$40:$C$46,MATCH(I9,'Comment flow'!$A$40:$A$46,0)),""))</f>
        <v>The next draft version (Versions tab)</v>
      </c>
      <c r="N9" s="46" t="str">
        <f aca="false">IF(B9="","",IF(OR(I9="",I9="Open: needs a decision",L9=""),"Open","Closed"))</f>
        <v>Closed</v>
      </c>
      <c r="O9" s="46" t="s">
        <v>218</v>
      </c>
      <c r="P9" s="46" t="str">
        <f aca="false">IF(OR(B9="",I9&lt;&gt;"Save for a later revision"),"",IF(COUNTIF('Deferred edits'!$K$2:$K$201,A9)&gt;0,"Yes","● Add to Deferred edits"))</f>
        <v/>
      </c>
    </row>
    <row r="10" customFormat="false" ht="23.85" hidden="false" customHeight="false" outlineLevel="0" collapsed="false">
      <c r="A10" s="46" t="s">
        <v>282</v>
      </c>
      <c r="B10" s="46" t="s">
        <v>70</v>
      </c>
      <c r="C10" s="47" t="n">
        <v>46296</v>
      </c>
      <c r="D10" s="46" t="s">
        <v>235</v>
      </c>
      <c r="E10" s="46" t="s">
        <v>236</v>
      </c>
      <c r="F10" s="46" t="s">
        <v>261</v>
      </c>
      <c r="G10" s="46" t="s">
        <v>278</v>
      </c>
      <c r="H10" s="46" t="s">
        <v>283</v>
      </c>
      <c r="I10" s="46" t="s">
        <v>280</v>
      </c>
      <c r="J10" s="46" t="s">
        <v>284</v>
      </c>
      <c r="K10" s="46" t="s">
        <v>242</v>
      </c>
      <c r="L10" s="47" t="n">
        <v>46296</v>
      </c>
      <c r="M10" s="46" t="str">
        <f aca="false">IF(OR(B10="",I10=""),"",IFERROR(INDEX('Comment flow'!$C$40:$C$46,MATCH(I10,'Comment flow'!$A$40:$A$46,0)),""))</f>
        <v>The next draft version (Versions tab)</v>
      </c>
      <c r="N10" s="46" t="str">
        <f aca="false">IF(B10="","",IF(OR(I10="",I10="Open: needs a decision",L10=""),"Open","Closed"))</f>
        <v>Closed</v>
      </c>
      <c r="O10" s="46" t="s">
        <v>218</v>
      </c>
      <c r="P10" s="46" t="str">
        <f aca="false">IF(OR(B10="",I10&lt;&gt;"Save for a later revision"),"",IF(COUNTIF('Deferred edits'!$K$2:$K$201,A10)&gt;0,"Yes","● Add to Deferred edits"))</f>
        <v/>
      </c>
    </row>
    <row r="11" customFormat="false" ht="23.85" hidden="false" customHeight="false" outlineLevel="0" collapsed="false">
      <c r="A11" s="46" t="s">
        <v>285</v>
      </c>
      <c r="B11" s="46" t="s">
        <v>70</v>
      </c>
      <c r="C11" s="47" t="n">
        <v>46295</v>
      </c>
      <c r="D11" s="46" t="s">
        <v>254</v>
      </c>
      <c r="E11" s="46" t="s">
        <v>277</v>
      </c>
      <c r="F11" s="46" t="s">
        <v>261</v>
      </c>
      <c r="G11" s="46" t="s">
        <v>286</v>
      </c>
      <c r="H11" s="46" t="s">
        <v>287</v>
      </c>
      <c r="I11" s="46" t="s">
        <v>280</v>
      </c>
      <c r="J11" s="46" t="s">
        <v>288</v>
      </c>
      <c r="K11" s="46" t="s">
        <v>242</v>
      </c>
      <c r="L11" s="47" t="n">
        <v>46296</v>
      </c>
      <c r="M11" s="46" t="str">
        <f aca="false">IF(OR(B11="",I11=""),"",IFERROR(INDEX('Comment flow'!$C$40:$C$46,MATCH(I11,'Comment flow'!$A$40:$A$46,0)),""))</f>
        <v>The next draft version (Versions tab)</v>
      </c>
      <c r="N11" s="46" t="str">
        <f aca="false">IF(B11="","",IF(OR(I11="",I11="Open: needs a decision",L11=""),"Open","Closed"))</f>
        <v>Closed</v>
      </c>
      <c r="O11" s="46" t="s">
        <v>218</v>
      </c>
      <c r="P11" s="46" t="str">
        <f aca="false">IF(OR(B11="",I11&lt;&gt;"Save for a later revision"),"",IF(COUNTIF('Deferred edits'!$K$2:$K$201,A11)&gt;0,"Yes","● Add to Deferred edits"))</f>
        <v/>
      </c>
    </row>
    <row r="12" customFormat="false" ht="35.05" hidden="false" customHeight="false" outlineLevel="0" collapsed="false">
      <c r="A12" s="46" t="s">
        <v>289</v>
      </c>
      <c r="B12" s="46" t="s">
        <v>70</v>
      </c>
      <c r="C12" s="47" t="n">
        <v>46295</v>
      </c>
      <c r="D12" s="46" t="s">
        <v>254</v>
      </c>
      <c r="E12" s="46" t="s">
        <v>277</v>
      </c>
      <c r="F12" s="46" t="s">
        <v>261</v>
      </c>
      <c r="G12" s="46" t="s">
        <v>278</v>
      </c>
      <c r="H12" s="46" t="s">
        <v>290</v>
      </c>
      <c r="I12" s="46" t="s">
        <v>280</v>
      </c>
      <c r="J12" s="46" t="s">
        <v>291</v>
      </c>
      <c r="K12" s="46" t="s">
        <v>242</v>
      </c>
      <c r="L12" s="47" t="n">
        <v>46296</v>
      </c>
      <c r="M12" s="46" t="str">
        <f aca="false">IF(OR(B12="",I12=""),"",IFERROR(INDEX('Comment flow'!$C$40:$C$46,MATCH(I12,'Comment flow'!$A$40:$A$46,0)),""))</f>
        <v>The next draft version (Versions tab)</v>
      </c>
      <c r="N12" s="46" t="str">
        <f aca="false">IF(B12="","",IF(OR(I12="",I12="Open: needs a decision",L12=""),"Open","Closed"))</f>
        <v>Closed</v>
      </c>
      <c r="O12" s="46" t="s">
        <v>218</v>
      </c>
      <c r="P12" s="46" t="str">
        <f aca="false">IF(OR(B12="",I12&lt;&gt;"Save for a later revision"),"",IF(COUNTIF('Deferred edits'!$K$2:$K$201,A12)&gt;0,"Yes","● Add to Deferred edits"))</f>
        <v/>
      </c>
    </row>
    <row r="13" customFormat="false" ht="23.85" hidden="false" customHeight="false" outlineLevel="0" collapsed="false">
      <c r="A13" s="46" t="s">
        <v>292</v>
      </c>
      <c r="B13" s="46" t="s">
        <v>70</v>
      </c>
      <c r="C13" s="47" t="n">
        <v>46296</v>
      </c>
      <c r="D13" s="46" t="s">
        <v>293</v>
      </c>
      <c r="E13" s="46" t="s">
        <v>270</v>
      </c>
      <c r="F13" s="46" t="s">
        <v>261</v>
      </c>
      <c r="G13" s="46" t="s">
        <v>278</v>
      </c>
      <c r="H13" s="46" t="s">
        <v>294</v>
      </c>
      <c r="I13" s="46" t="s">
        <v>295</v>
      </c>
      <c r="J13" s="46" t="s">
        <v>296</v>
      </c>
      <c r="K13" s="46" t="s">
        <v>242</v>
      </c>
      <c r="L13" s="47" t="n">
        <v>46296</v>
      </c>
      <c r="M13" s="46" t="str">
        <f aca="false">IF(OR(B13="",I13=""),"",IFERROR(INDEX('Comment flow'!$C$40:$C$46,MATCH(I13,'Comment flow'!$A$40:$A$46,0)),""))</f>
        <v>Deferred edits tab; flagged when that policy reopens</v>
      </c>
      <c r="N13" s="46" t="str">
        <f aca="false">IF(B13="","",IF(OR(I13="",I13="Open: needs a decision",L13=""),"Open","Closed"))</f>
        <v>Closed</v>
      </c>
      <c r="O13" s="46" t="s">
        <v>218</v>
      </c>
      <c r="P13" s="46" t="str">
        <f aca="false">IF(OR(B13="",I13&lt;&gt;"Save for a later revision"),"",IF(COUNTIF('Deferred edits'!$K$2:$K$201,A13)&gt;0,"Yes","● Add to Deferred edits"))</f>
        <v>Yes</v>
      </c>
    </row>
    <row r="14" customFormat="false" ht="23.85" hidden="false" customHeight="false" outlineLevel="0" collapsed="false">
      <c r="A14" s="46" t="s">
        <v>297</v>
      </c>
      <c r="B14" s="46" t="s">
        <v>70</v>
      </c>
      <c r="C14" s="47" t="n">
        <v>46296</v>
      </c>
      <c r="D14" s="46" t="s">
        <v>235</v>
      </c>
      <c r="E14" s="46" t="s">
        <v>236</v>
      </c>
      <c r="F14" s="46" t="s">
        <v>261</v>
      </c>
      <c r="G14" s="46" t="s">
        <v>245</v>
      </c>
      <c r="H14" s="46" t="s">
        <v>298</v>
      </c>
      <c r="I14" s="46" t="s">
        <v>240</v>
      </c>
      <c r="J14" s="46" t="s">
        <v>299</v>
      </c>
      <c r="K14" s="46" t="s">
        <v>242</v>
      </c>
      <c r="L14" s="47" t="n">
        <v>46296</v>
      </c>
      <c r="M14" s="46" t="str">
        <f aca="false">IF(OR(B14="",I14=""),"",IFERROR(INDEX('Comment flow'!$C$40:$C$46,MATCH(I14,'Comment flow'!$A$40:$A$46,0)),""))</f>
        <v>The regulation draft for that policy</v>
      </c>
      <c r="N14" s="46" t="str">
        <f aca="false">IF(B14="","",IF(OR(I14="",I14="Open: needs a decision",L14=""),"Open","Closed"))</f>
        <v>Closed</v>
      </c>
      <c r="O14" s="46" t="s">
        <v>218</v>
      </c>
      <c r="P14" s="46" t="str">
        <f aca="false">IF(OR(B14="",I14&lt;&gt;"Save for a later revision"),"",IF(COUNTIF('Deferred edits'!$K$2:$K$201,A14)&gt;0,"Yes","● Add to Deferred edits"))</f>
        <v/>
      </c>
    </row>
    <row r="15" customFormat="false" ht="23.85" hidden="false" customHeight="false" outlineLevel="0" collapsed="false">
      <c r="A15" s="46" t="s">
        <v>300</v>
      </c>
      <c r="B15" s="46" t="s">
        <v>70</v>
      </c>
      <c r="C15" s="47" t="n">
        <v>46296</v>
      </c>
      <c r="D15" s="46" t="s">
        <v>254</v>
      </c>
      <c r="E15" s="46" t="s">
        <v>270</v>
      </c>
      <c r="F15" s="46" t="s">
        <v>261</v>
      </c>
      <c r="G15" s="46" t="s">
        <v>278</v>
      </c>
      <c r="H15" s="46" t="s">
        <v>301</v>
      </c>
      <c r="I15" s="46" t="s">
        <v>280</v>
      </c>
      <c r="J15" s="46" t="s">
        <v>302</v>
      </c>
      <c r="K15" s="46" t="s">
        <v>242</v>
      </c>
      <c r="L15" s="47" t="n">
        <v>46296</v>
      </c>
      <c r="M15" s="46" t="str">
        <f aca="false">IF(OR(B15="",I15=""),"",IFERROR(INDEX('Comment flow'!$C$40:$C$46,MATCH(I15,'Comment flow'!$A$40:$A$46,0)),""))</f>
        <v>The next draft version (Versions tab)</v>
      </c>
      <c r="N15" s="46" t="str">
        <f aca="false">IF(B15="","",IF(OR(I15="",I15="Open: needs a decision",L15=""),"Open","Closed"))</f>
        <v>Closed</v>
      </c>
      <c r="O15" s="46" t="s">
        <v>218</v>
      </c>
      <c r="P15" s="46" t="str">
        <f aca="false">IF(OR(B15="",I15&lt;&gt;"Save for a later revision"),"",IF(COUNTIF('Deferred edits'!$K$2:$K$201,A15)&gt;0,"Yes","● Add to Deferred edits"))</f>
        <v/>
      </c>
    </row>
    <row r="16" customFormat="false" ht="23.85" hidden="false" customHeight="false" outlineLevel="0" collapsed="false">
      <c r="A16" s="46" t="s">
        <v>303</v>
      </c>
      <c r="B16" s="46" t="s">
        <v>125</v>
      </c>
      <c r="C16" s="47" t="n">
        <v>46300</v>
      </c>
      <c r="D16" s="46" t="s">
        <v>254</v>
      </c>
      <c r="E16" s="46" t="s">
        <v>304</v>
      </c>
      <c r="F16" s="46" t="s">
        <v>305</v>
      </c>
      <c r="G16" s="46" t="s">
        <v>13</v>
      </c>
      <c r="H16" s="46" t="s">
        <v>306</v>
      </c>
      <c r="I16" s="46" t="s">
        <v>272</v>
      </c>
      <c r="J16" s="46" t="s">
        <v>307</v>
      </c>
      <c r="K16" s="46" t="s">
        <v>274</v>
      </c>
      <c r="L16" s="46"/>
      <c r="M16" s="46" t="str">
        <f aca="false">IF(OR(B16="",I16=""),"",IFERROR(INDEX('Comment flow'!$C$40:$C$46,MATCH(I16,'Comment flow'!$A$40:$A$46,0)),""))</f>
        <v>The next committee agenda</v>
      </c>
      <c r="N16" s="46" t="str">
        <f aca="false">IF(B16="","",IF(OR(I16="",I16="Open: needs a decision",L16=""),"Open","Closed"))</f>
        <v>Open</v>
      </c>
      <c r="O16" s="46" t="s">
        <v>134</v>
      </c>
      <c r="P16" s="46" t="str">
        <f aca="false">IF(OR(B16="",I16&lt;&gt;"Save for a later revision"),"",IF(COUNTIF('Deferred edits'!$K$2:$K$201,A16)&gt;0,"Yes","● Add to Deferred edits"))</f>
        <v/>
      </c>
    </row>
    <row r="17" customFormat="false" ht="23.85" hidden="false" customHeight="false" outlineLevel="0" collapsed="false">
      <c r="A17" s="46" t="s">
        <v>308</v>
      </c>
      <c r="B17" s="46" t="s">
        <v>125</v>
      </c>
      <c r="C17" s="47" t="n">
        <v>46300</v>
      </c>
      <c r="D17" s="46" t="s">
        <v>254</v>
      </c>
      <c r="E17" s="46" t="s">
        <v>304</v>
      </c>
      <c r="F17" s="46" t="s">
        <v>305</v>
      </c>
      <c r="G17" s="46" t="s">
        <v>245</v>
      </c>
      <c r="H17" s="46" t="s">
        <v>309</v>
      </c>
      <c r="I17" s="46" t="s">
        <v>272</v>
      </c>
      <c r="J17" s="46" t="s">
        <v>307</v>
      </c>
      <c r="K17" s="46" t="s">
        <v>274</v>
      </c>
      <c r="L17" s="46"/>
      <c r="M17" s="46" t="str">
        <f aca="false">IF(OR(B17="",I17=""),"",IFERROR(INDEX('Comment flow'!$C$40:$C$46,MATCH(I17,'Comment flow'!$A$40:$A$46,0)),""))</f>
        <v>The next committee agenda</v>
      </c>
      <c r="N17" s="46" t="str">
        <f aca="false">IF(B17="","",IF(OR(I17="",I17="Open: needs a decision",L17=""),"Open","Closed"))</f>
        <v>Open</v>
      </c>
      <c r="O17" s="46" t="s">
        <v>134</v>
      </c>
      <c r="P17" s="46" t="str">
        <f aca="false">IF(OR(B17="",I17&lt;&gt;"Save for a later revision"),"",IF(COUNTIF('Deferred edits'!$K$2:$K$201,A17)&gt;0,"Yes","● Add to Deferred edits"))</f>
        <v/>
      </c>
    </row>
    <row r="18" customFormat="false" ht="23.85" hidden="false" customHeight="false" outlineLevel="0" collapsed="false">
      <c r="A18" s="46" t="s">
        <v>310</v>
      </c>
      <c r="B18" s="46" t="s">
        <v>125</v>
      </c>
      <c r="C18" s="47" t="n">
        <v>46300</v>
      </c>
      <c r="D18" s="46" t="s">
        <v>254</v>
      </c>
      <c r="E18" s="46" t="s">
        <v>304</v>
      </c>
      <c r="F18" s="46" t="s">
        <v>305</v>
      </c>
      <c r="G18" s="46" t="s">
        <v>245</v>
      </c>
      <c r="H18" s="46" t="s">
        <v>311</v>
      </c>
      <c r="I18" s="46" t="s">
        <v>272</v>
      </c>
      <c r="J18" s="46" t="s">
        <v>312</v>
      </c>
      <c r="K18" s="46" t="s">
        <v>274</v>
      </c>
      <c r="L18" s="46"/>
      <c r="M18" s="46" t="str">
        <f aca="false">IF(OR(B18="",I18=""),"",IFERROR(INDEX('Comment flow'!$C$40:$C$46,MATCH(I18,'Comment flow'!$A$40:$A$46,0)),""))</f>
        <v>The next committee agenda</v>
      </c>
      <c r="N18" s="46" t="str">
        <f aca="false">IF(B18="","",IF(OR(I18="",I18="Open: needs a decision",L18=""),"Open","Closed"))</f>
        <v>Open</v>
      </c>
      <c r="O18" s="46" t="s">
        <v>134</v>
      </c>
      <c r="P18" s="46" t="str">
        <f aca="false">IF(OR(B18="",I18&lt;&gt;"Save for a later revision"),"",IF(COUNTIF('Deferred edits'!$K$2:$K$201,A18)&gt;0,"Yes","● Add to Deferred edits"))</f>
        <v/>
      </c>
    </row>
    <row r="19" customFormat="false" ht="23.85" hidden="false" customHeight="false" outlineLevel="0" collapsed="false">
      <c r="A19" s="46" t="s">
        <v>313</v>
      </c>
      <c r="B19" s="46" t="s">
        <v>136</v>
      </c>
      <c r="C19" s="47" t="n">
        <v>46300</v>
      </c>
      <c r="D19" s="46" t="s">
        <v>254</v>
      </c>
      <c r="E19" s="46" t="s">
        <v>304</v>
      </c>
      <c r="F19" s="46" t="s">
        <v>305</v>
      </c>
      <c r="G19" s="46" t="s">
        <v>245</v>
      </c>
      <c r="H19" s="46" t="s">
        <v>314</v>
      </c>
      <c r="I19" s="46" t="s">
        <v>272</v>
      </c>
      <c r="J19" s="46" t="s">
        <v>307</v>
      </c>
      <c r="K19" s="46" t="s">
        <v>274</v>
      </c>
      <c r="L19" s="46"/>
      <c r="M19" s="46" t="str">
        <f aca="false">IF(OR(B19="",I19=""),"",IFERROR(INDEX('Comment flow'!$C$40:$C$46,MATCH(I19,'Comment flow'!$A$40:$A$46,0)),""))</f>
        <v>The next committee agenda</v>
      </c>
      <c r="N19" s="46" t="str">
        <f aca="false">IF(B19="","",IF(OR(I19="",I19="Open: needs a decision",L19=""),"Open","Closed"))</f>
        <v>Open</v>
      </c>
      <c r="O19" s="46" t="s">
        <v>134</v>
      </c>
      <c r="P19" s="46" t="str">
        <f aca="false">IF(OR(B19="",I19&lt;&gt;"Save for a later revision"),"",IF(COUNTIF('Deferred edits'!$K$2:$K$201,A19)&gt;0,"Yes","● Add to Deferred edits"))</f>
        <v/>
      </c>
    </row>
    <row r="20" customFormat="false" ht="15" hidden="false" customHeight="false" outlineLevel="0" collapsed="false">
      <c r="A20" s="46" t="s">
        <v>315</v>
      </c>
      <c r="B20" s="46"/>
      <c r="C20" s="46"/>
      <c r="D20" s="46"/>
      <c r="E20" s="46"/>
      <c r="F20" s="46"/>
      <c r="G20" s="46"/>
      <c r="H20" s="46"/>
      <c r="I20" s="46"/>
      <c r="J20" s="46"/>
      <c r="K20" s="46"/>
      <c r="L20" s="46"/>
      <c r="M20" s="46" t="str">
        <f aca="false">IF(OR(B20="",I20=""),"",IFERROR(INDEX('Comment flow'!$C$40:$C$46,MATCH(I20,'Comment flow'!$A$40:$A$46,0)),""))</f>
        <v/>
      </c>
      <c r="N20" s="46" t="str">
        <f aca="false">IF(B20="","",IF(OR(I20="",I20="Open: needs a decision",L20=""),"Open","Closed"))</f>
        <v/>
      </c>
      <c r="O20" s="46"/>
      <c r="P20" s="46" t="str">
        <f aca="false">IF(OR(B20="",I20&lt;&gt;"Save for a later revision"),"",IF(COUNTIF('Deferred edits'!$K$2:$K$201,A20)&gt;0,"Yes","● Add to Deferred edits"))</f>
        <v/>
      </c>
    </row>
    <row r="21" customFormat="false" ht="15" hidden="false" customHeight="false" outlineLevel="0" collapsed="false">
      <c r="A21" s="46" t="s">
        <v>316</v>
      </c>
      <c r="B21" s="46"/>
      <c r="C21" s="46"/>
      <c r="D21" s="46"/>
      <c r="E21" s="46"/>
      <c r="F21" s="46"/>
      <c r="G21" s="46"/>
      <c r="H21" s="46"/>
      <c r="I21" s="46"/>
      <c r="J21" s="46"/>
      <c r="K21" s="46"/>
      <c r="L21" s="46"/>
      <c r="M21" s="46" t="str">
        <f aca="false">IF(OR(B21="",I21=""),"",IFERROR(INDEX('Comment flow'!$C$40:$C$46,MATCH(I21,'Comment flow'!$A$40:$A$46,0)),""))</f>
        <v/>
      </c>
      <c r="N21" s="46" t="str">
        <f aca="false">IF(B21="","",IF(OR(I21="",I21="Open: needs a decision",L21=""),"Open","Closed"))</f>
        <v/>
      </c>
      <c r="O21" s="46"/>
      <c r="P21" s="46" t="str">
        <f aca="false">IF(OR(B21="",I21&lt;&gt;"Save for a later revision"),"",IF(COUNTIF('Deferred edits'!$K$2:$K$201,A21)&gt;0,"Yes","● Add to Deferred edits"))</f>
        <v/>
      </c>
    </row>
    <row r="22" customFormat="false" ht="15" hidden="false" customHeight="false" outlineLevel="0" collapsed="false">
      <c r="A22" s="46" t="s">
        <v>317</v>
      </c>
      <c r="B22" s="46"/>
      <c r="C22" s="46"/>
      <c r="D22" s="46"/>
      <c r="E22" s="46"/>
      <c r="F22" s="46"/>
      <c r="G22" s="46"/>
      <c r="H22" s="46"/>
      <c r="I22" s="46"/>
      <c r="J22" s="46"/>
      <c r="K22" s="46"/>
      <c r="L22" s="46"/>
      <c r="M22" s="46" t="str">
        <f aca="false">IF(OR(B22="",I22=""),"",IFERROR(INDEX('Comment flow'!$C$40:$C$46,MATCH(I22,'Comment flow'!$A$40:$A$46,0)),""))</f>
        <v/>
      </c>
      <c r="N22" s="46" t="str">
        <f aca="false">IF(B22="","",IF(OR(I22="",I22="Open: needs a decision",L22=""),"Open","Closed"))</f>
        <v/>
      </c>
      <c r="O22" s="46"/>
      <c r="P22" s="46" t="str">
        <f aca="false">IF(OR(B22="",I22&lt;&gt;"Save for a later revision"),"",IF(COUNTIF('Deferred edits'!$K$2:$K$201,A22)&gt;0,"Yes","● Add to Deferred edits"))</f>
        <v/>
      </c>
    </row>
    <row r="23" customFormat="false" ht="15" hidden="false" customHeight="false" outlineLevel="0" collapsed="false">
      <c r="A23" s="46" t="s">
        <v>318</v>
      </c>
      <c r="B23" s="46"/>
      <c r="C23" s="46"/>
      <c r="D23" s="46"/>
      <c r="E23" s="46"/>
      <c r="F23" s="46"/>
      <c r="G23" s="46"/>
      <c r="H23" s="46"/>
      <c r="I23" s="46"/>
      <c r="J23" s="46"/>
      <c r="K23" s="46"/>
      <c r="L23" s="46"/>
      <c r="M23" s="46" t="str">
        <f aca="false">IF(OR(B23="",I23=""),"",IFERROR(INDEX('Comment flow'!$C$40:$C$46,MATCH(I23,'Comment flow'!$A$40:$A$46,0)),""))</f>
        <v/>
      </c>
      <c r="N23" s="46" t="str">
        <f aca="false">IF(B23="","",IF(OR(I23="",I23="Open: needs a decision",L23=""),"Open","Closed"))</f>
        <v/>
      </c>
      <c r="O23" s="46"/>
      <c r="P23" s="46" t="str">
        <f aca="false">IF(OR(B23="",I23&lt;&gt;"Save for a later revision"),"",IF(COUNTIF('Deferred edits'!$K$2:$K$201,A23)&gt;0,"Yes","● Add to Deferred edits"))</f>
        <v/>
      </c>
    </row>
    <row r="24" customFormat="false" ht="15" hidden="false" customHeight="false" outlineLevel="0" collapsed="false">
      <c r="A24" s="46" t="s">
        <v>319</v>
      </c>
      <c r="B24" s="46"/>
      <c r="C24" s="46"/>
      <c r="D24" s="46"/>
      <c r="E24" s="46"/>
      <c r="F24" s="46"/>
      <c r="G24" s="46"/>
      <c r="H24" s="46"/>
      <c r="I24" s="46"/>
      <c r="J24" s="46"/>
      <c r="K24" s="46"/>
      <c r="L24" s="46"/>
      <c r="M24" s="46" t="str">
        <f aca="false">IF(OR(B24="",I24=""),"",IFERROR(INDEX('Comment flow'!$C$40:$C$46,MATCH(I24,'Comment flow'!$A$40:$A$46,0)),""))</f>
        <v/>
      </c>
      <c r="N24" s="46" t="str">
        <f aca="false">IF(B24="","",IF(OR(I24="",I24="Open: needs a decision",L24=""),"Open","Closed"))</f>
        <v/>
      </c>
      <c r="O24" s="46"/>
      <c r="P24" s="46" t="str">
        <f aca="false">IF(OR(B24="",I24&lt;&gt;"Save for a later revision"),"",IF(COUNTIF('Deferred edits'!$K$2:$K$201,A24)&gt;0,"Yes","● Add to Deferred edits"))</f>
        <v/>
      </c>
    </row>
    <row r="25" customFormat="false" ht="15" hidden="false" customHeight="false" outlineLevel="0" collapsed="false">
      <c r="A25" s="46" t="s">
        <v>320</v>
      </c>
      <c r="B25" s="46"/>
      <c r="C25" s="46"/>
      <c r="D25" s="46"/>
      <c r="E25" s="46"/>
      <c r="F25" s="46"/>
      <c r="G25" s="46"/>
      <c r="H25" s="46"/>
      <c r="I25" s="46"/>
      <c r="J25" s="46"/>
      <c r="K25" s="46"/>
      <c r="L25" s="46"/>
      <c r="M25" s="46" t="str">
        <f aca="false">IF(OR(B25="",I25=""),"",IFERROR(INDEX('Comment flow'!$C$40:$C$46,MATCH(I25,'Comment flow'!$A$40:$A$46,0)),""))</f>
        <v/>
      </c>
      <c r="N25" s="46" t="str">
        <f aca="false">IF(B25="","",IF(OR(I25="",I25="Open: needs a decision",L25=""),"Open","Closed"))</f>
        <v/>
      </c>
      <c r="O25" s="46"/>
      <c r="P25" s="46" t="str">
        <f aca="false">IF(OR(B25="",I25&lt;&gt;"Save for a later revision"),"",IF(COUNTIF('Deferred edits'!$K$2:$K$201,A25)&gt;0,"Yes","● Add to Deferred edits"))</f>
        <v/>
      </c>
    </row>
    <row r="26" customFormat="false" ht="15" hidden="false" customHeight="false" outlineLevel="0" collapsed="false">
      <c r="A26" s="46" t="s">
        <v>321</v>
      </c>
      <c r="B26" s="46"/>
      <c r="C26" s="46"/>
      <c r="D26" s="46"/>
      <c r="E26" s="46"/>
      <c r="F26" s="46"/>
      <c r="G26" s="46"/>
      <c r="H26" s="46"/>
      <c r="I26" s="46"/>
      <c r="J26" s="46"/>
      <c r="K26" s="46"/>
      <c r="L26" s="46"/>
      <c r="M26" s="46" t="str">
        <f aca="false">IF(OR(B26="",I26=""),"",IFERROR(INDEX('Comment flow'!$C$40:$C$46,MATCH(I26,'Comment flow'!$A$40:$A$46,0)),""))</f>
        <v/>
      </c>
      <c r="N26" s="46" t="str">
        <f aca="false">IF(B26="","",IF(OR(I26="",I26="Open: needs a decision",L26=""),"Open","Closed"))</f>
        <v/>
      </c>
      <c r="O26" s="46"/>
      <c r="P26" s="46" t="str">
        <f aca="false">IF(OR(B26="",I26&lt;&gt;"Save for a later revision"),"",IF(COUNTIF('Deferred edits'!$K$2:$K$201,A26)&gt;0,"Yes","● Add to Deferred edits"))</f>
        <v/>
      </c>
    </row>
    <row r="27" customFormat="false" ht="15" hidden="false" customHeight="false" outlineLevel="0" collapsed="false">
      <c r="A27" s="46" t="s">
        <v>322</v>
      </c>
      <c r="B27" s="46"/>
      <c r="C27" s="46"/>
      <c r="D27" s="46"/>
      <c r="E27" s="46"/>
      <c r="F27" s="46"/>
      <c r="G27" s="46"/>
      <c r="H27" s="46"/>
      <c r="I27" s="46"/>
      <c r="J27" s="46"/>
      <c r="K27" s="46"/>
      <c r="L27" s="46"/>
      <c r="M27" s="46" t="str">
        <f aca="false">IF(OR(B27="",I27=""),"",IFERROR(INDEX('Comment flow'!$C$40:$C$46,MATCH(I27,'Comment flow'!$A$40:$A$46,0)),""))</f>
        <v/>
      </c>
      <c r="N27" s="46" t="str">
        <f aca="false">IF(B27="","",IF(OR(I27="",I27="Open: needs a decision",L27=""),"Open","Closed"))</f>
        <v/>
      </c>
      <c r="O27" s="46"/>
      <c r="P27" s="46" t="str">
        <f aca="false">IF(OR(B27="",I27&lt;&gt;"Save for a later revision"),"",IF(COUNTIF('Deferred edits'!$K$2:$K$201,A27)&gt;0,"Yes","● Add to Deferred edits"))</f>
        <v/>
      </c>
    </row>
    <row r="28" customFormat="false" ht="15" hidden="false" customHeight="false" outlineLevel="0" collapsed="false">
      <c r="A28" s="46" t="s">
        <v>323</v>
      </c>
      <c r="B28" s="46"/>
      <c r="C28" s="46"/>
      <c r="D28" s="46"/>
      <c r="E28" s="46"/>
      <c r="F28" s="46"/>
      <c r="G28" s="46"/>
      <c r="H28" s="46"/>
      <c r="I28" s="46"/>
      <c r="J28" s="46"/>
      <c r="K28" s="46"/>
      <c r="L28" s="46"/>
      <c r="M28" s="46" t="str">
        <f aca="false">IF(OR(B28="",I28=""),"",IFERROR(INDEX('Comment flow'!$C$40:$C$46,MATCH(I28,'Comment flow'!$A$40:$A$46,0)),""))</f>
        <v/>
      </c>
      <c r="N28" s="46" t="str">
        <f aca="false">IF(B28="","",IF(OR(I28="",I28="Open: needs a decision",L28=""),"Open","Closed"))</f>
        <v/>
      </c>
      <c r="O28" s="46"/>
      <c r="P28" s="46" t="str">
        <f aca="false">IF(OR(B28="",I28&lt;&gt;"Save for a later revision"),"",IF(COUNTIF('Deferred edits'!$K$2:$K$201,A28)&gt;0,"Yes","● Add to Deferred edits"))</f>
        <v/>
      </c>
    </row>
    <row r="29" customFormat="false" ht="15" hidden="false" customHeight="false" outlineLevel="0" collapsed="false">
      <c r="A29" s="46" t="s">
        <v>324</v>
      </c>
      <c r="B29" s="46"/>
      <c r="C29" s="46"/>
      <c r="D29" s="46"/>
      <c r="E29" s="46"/>
      <c r="F29" s="46"/>
      <c r="G29" s="46"/>
      <c r="H29" s="46"/>
      <c r="I29" s="46"/>
      <c r="J29" s="46"/>
      <c r="K29" s="46"/>
      <c r="L29" s="46"/>
      <c r="M29" s="46" t="str">
        <f aca="false">IF(OR(B29="",I29=""),"",IFERROR(INDEX('Comment flow'!$C$40:$C$46,MATCH(I29,'Comment flow'!$A$40:$A$46,0)),""))</f>
        <v/>
      </c>
      <c r="N29" s="46" t="str">
        <f aca="false">IF(B29="","",IF(OR(I29="",I29="Open: needs a decision",L29=""),"Open","Closed"))</f>
        <v/>
      </c>
      <c r="O29" s="46"/>
      <c r="P29" s="46" t="str">
        <f aca="false">IF(OR(B29="",I29&lt;&gt;"Save for a later revision"),"",IF(COUNTIF('Deferred edits'!$K$2:$K$201,A29)&gt;0,"Yes","● Add to Deferred edits"))</f>
        <v/>
      </c>
    </row>
    <row r="30" customFormat="false" ht="15" hidden="false" customHeight="false" outlineLevel="0" collapsed="false">
      <c r="A30" s="46" t="s">
        <v>325</v>
      </c>
      <c r="B30" s="46"/>
      <c r="C30" s="46"/>
      <c r="D30" s="46"/>
      <c r="E30" s="46"/>
      <c r="F30" s="46"/>
      <c r="G30" s="46"/>
      <c r="H30" s="46"/>
      <c r="I30" s="46"/>
      <c r="J30" s="46"/>
      <c r="K30" s="46"/>
      <c r="L30" s="46"/>
      <c r="M30" s="46" t="str">
        <f aca="false">IF(OR(B30="",I30=""),"",IFERROR(INDEX('Comment flow'!$C$40:$C$46,MATCH(I30,'Comment flow'!$A$40:$A$46,0)),""))</f>
        <v/>
      </c>
      <c r="N30" s="46" t="str">
        <f aca="false">IF(B30="","",IF(OR(I30="",I30="Open: needs a decision",L30=""),"Open","Closed"))</f>
        <v/>
      </c>
      <c r="O30" s="46"/>
      <c r="P30" s="46" t="str">
        <f aca="false">IF(OR(B30="",I30&lt;&gt;"Save for a later revision"),"",IF(COUNTIF('Deferred edits'!$K$2:$K$201,A30)&gt;0,"Yes","● Add to Deferred edits"))</f>
        <v/>
      </c>
    </row>
    <row r="31" customFormat="false" ht="15" hidden="false" customHeight="false" outlineLevel="0" collapsed="false">
      <c r="A31" s="46" t="s">
        <v>326</v>
      </c>
      <c r="B31" s="46"/>
      <c r="C31" s="46"/>
      <c r="D31" s="46"/>
      <c r="E31" s="46"/>
      <c r="F31" s="46"/>
      <c r="G31" s="46"/>
      <c r="H31" s="46"/>
      <c r="I31" s="46"/>
      <c r="J31" s="46"/>
      <c r="K31" s="46"/>
      <c r="L31" s="46"/>
      <c r="M31" s="46" t="str">
        <f aca="false">IF(OR(B31="",I31=""),"",IFERROR(INDEX('Comment flow'!$C$40:$C$46,MATCH(I31,'Comment flow'!$A$40:$A$46,0)),""))</f>
        <v/>
      </c>
      <c r="N31" s="46" t="str">
        <f aca="false">IF(B31="","",IF(OR(I31="",I31="Open: needs a decision",L31=""),"Open","Closed"))</f>
        <v/>
      </c>
      <c r="O31" s="46"/>
      <c r="P31" s="46" t="str">
        <f aca="false">IF(OR(B31="",I31&lt;&gt;"Save for a later revision"),"",IF(COUNTIF('Deferred edits'!$K$2:$K$201,A31)&gt;0,"Yes","● Add to Deferred edits"))</f>
        <v/>
      </c>
    </row>
    <row r="32" customFormat="false" ht="15" hidden="false" customHeight="false" outlineLevel="0" collapsed="false">
      <c r="A32" s="46" t="s">
        <v>327</v>
      </c>
      <c r="B32" s="46"/>
      <c r="C32" s="46"/>
      <c r="D32" s="46"/>
      <c r="E32" s="46"/>
      <c r="F32" s="46"/>
      <c r="G32" s="46"/>
      <c r="H32" s="46"/>
      <c r="I32" s="46"/>
      <c r="J32" s="46"/>
      <c r="K32" s="46"/>
      <c r="L32" s="46"/>
      <c r="M32" s="46" t="str">
        <f aca="false">IF(OR(B32="",I32=""),"",IFERROR(INDEX('Comment flow'!$C$40:$C$46,MATCH(I32,'Comment flow'!$A$40:$A$46,0)),""))</f>
        <v/>
      </c>
      <c r="N32" s="46" t="str">
        <f aca="false">IF(B32="","",IF(OR(I32="",I32="Open: needs a decision",L32=""),"Open","Closed"))</f>
        <v/>
      </c>
      <c r="O32" s="46"/>
      <c r="P32" s="46" t="str">
        <f aca="false">IF(OR(B32="",I32&lt;&gt;"Save for a later revision"),"",IF(COUNTIF('Deferred edits'!$K$2:$K$201,A32)&gt;0,"Yes","● Add to Deferred edits"))</f>
        <v/>
      </c>
    </row>
    <row r="33" customFormat="false" ht="15" hidden="false" customHeight="false" outlineLevel="0" collapsed="false">
      <c r="A33" s="46" t="s">
        <v>328</v>
      </c>
      <c r="B33" s="46"/>
      <c r="C33" s="46"/>
      <c r="D33" s="46"/>
      <c r="E33" s="46"/>
      <c r="F33" s="46"/>
      <c r="G33" s="46"/>
      <c r="H33" s="46"/>
      <c r="I33" s="46"/>
      <c r="J33" s="46"/>
      <c r="K33" s="46"/>
      <c r="L33" s="46"/>
      <c r="M33" s="46" t="str">
        <f aca="false">IF(OR(B33="",I33=""),"",IFERROR(INDEX('Comment flow'!$C$40:$C$46,MATCH(I33,'Comment flow'!$A$40:$A$46,0)),""))</f>
        <v/>
      </c>
      <c r="N33" s="46" t="str">
        <f aca="false">IF(B33="","",IF(OR(I33="",I33="Open: needs a decision",L33=""),"Open","Closed"))</f>
        <v/>
      </c>
      <c r="O33" s="46"/>
      <c r="P33" s="46" t="str">
        <f aca="false">IF(OR(B33="",I33&lt;&gt;"Save for a later revision"),"",IF(COUNTIF('Deferred edits'!$K$2:$K$201,A33)&gt;0,"Yes","● Add to Deferred edits"))</f>
        <v/>
      </c>
    </row>
    <row r="34" customFormat="false" ht="15" hidden="false" customHeight="false" outlineLevel="0" collapsed="false">
      <c r="A34" s="46" t="s">
        <v>329</v>
      </c>
      <c r="B34" s="46"/>
      <c r="C34" s="46"/>
      <c r="D34" s="46"/>
      <c r="E34" s="46"/>
      <c r="F34" s="46"/>
      <c r="G34" s="46"/>
      <c r="H34" s="46"/>
      <c r="I34" s="46"/>
      <c r="J34" s="46"/>
      <c r="K34" s="46"/>
      <c r="L34" s="46"/>
      <c r="M34" s="46" t="str">
        <f aca="false">IF(OR(B34="",I34=""),"",IFERROR(INDEX('Comment flow'!$C$40:$C$46,MATCH(I34,'Comment flow'!$A$40:$A$46,0)),""))</f>
        <v/>
      </c>
      <c r="N34" s="46" t="str">
        <f aca="false">IF(B34="","",IF(OR(I34="",I34="Open: needs a decision",L34=""),"Open","Closed"))</f>
        <v/>
      </c>
      <c r="O34" s="46"/>
      <c r="P34" s="46" t="str">
        <f aca="false">IF(OR(B34="",I34&lt;&gt;"Save for a later revision"),"",IF(COUNTIF('Deferred edits'!$K$2:$K$201,A34)&gt;0,"Yes","● Add to Deferred edits"))</f>
        <v/>
      </c>
    </row>
    <row r="35" customFormat="false" ht="15" hidden="false" customHeight="false" outlineLevel="0" collapsed="false">
      <c r="A35" s="46" t="s">
        <v>330</v>
      </c>
      <c r="B35" s="46"/>
      <c r="C35" s="46"/>
      <c r="D35" s="46"/>
      <c r="E35" s="46"/>
      <c r="F35" s="46"/>
      <c r="G35" s="46"/>
      <c r="H35" s="46"/>
      <c r="I35" s="46"/>
      <c r="J35" s="46"/>
      <c r="K35" s="46"/>
      <c r="L35" s="46"/>
      <c r="M35" s="46" t="str">
        <f aca="false">IF(OR(B35="",I35=""),"",IFERROR(INDEX('Comment flow'!$C$40:$C$46,MATCH(I35,'Comment flow'!$A$40:$A$46,0)),""))</f>
        <v/>
      </c>
      <c r="N35" s="46" t="str">
        <f aca="false">IF(B35="","",IF(OR(I35="",I35="Open: needs a decision",L35=""),"Open","Closed"))</f>
        <v/>
      </c>
      <c r="O35" s="46"/>
      <c r="P35" s="46" t="str">
        <f aca="false">IF(OR(B35="",I35&lt;&gt;"Save for a later revision"),"",IF(COUNTIF('Deferred edits'!$K$2:$K$201,A35)&gt;0,"Yes","● Add to Deferred edits"))</f>
        <v/>
      </c>
    </row>
    <row r="36" customFormat="false" ht="15" hidden="false" customHeight="false" outlineLevel="0" collapsed="false">
      <c r="A36" s="46" t="s">
        <v>331</v>
      </c>
      <c r="B36" s="46"/>
      <c r="C36" s="46"/>
      <c r="D36" s="46"/>
      <c r="E36" s="46"/>
      <c r="F36" s="46"/>
      <c r="G36" s="46"/>
      <c r="H36" s="46"/>
      <c r="I36" s="46"/>
      <c r="J36" s="46"/>
      <c r="K36" s="46"/>
      <c r="L36" s="46"/>
      <c r="M36" s="46" t="str">
        <f aca="false">IF(OR(B36="",I36=""),"",IFERROR(INDEX('Comment flow'!$C$40:$C$46,MATCH(I36,'Comment flow'!$A$40:$A$46,0)),""))</f>
        <v/>
      </c>
      <c r="N36" s="46" t="str">
        <f aca="false">IF(B36="","",IF(OR(I36="",I36="Open: needs a decision",L36=""),"Open","Closed"))</f>
        <v/>
      </c>
      <c r="O36" s="46"/>
      <c r="P36" s="46" t="str">
        <f aca="false">IF(OR(B36="",I36&lt;&gt;"Save for a later revision"),"",IF(COUNTIF('Deferred edits'!$K$2:$K$201,A36)&gt;0,"Yes","● Add to Deferred edits"))</f>
        <v/>
      </c>
    </row>
    <row r="37" customFormat="false" ht="15" hidden="false" customHeight="false" outlineLevel="0" collapsed="false">
      <c r="A37" s="46" t="s">
        <v>332</v>
      </c>
      <c r="B37" s="46"/>
      <c r="C37" s="46"/>
      <c r="D37" s="46"/>
      <c r="E37" s="46"/>
      <c r="F37" s="46"/>
      <c r="G37" s="46"/>
      <c r="H37" s="46"/>
      <c r="I37" s="46"/>
      <c r="J37" s="46"/>
      <c r="K37" s="46"/>
      <c r="L37" s="46"/>
      <c r="M37" s="46" t="str">
        <f aca="false">IF(OR(B37="",I37=""),"",IFERROR(INDEX('Comment flow'!$C$40:$C$46,MATCH(I37,'Comment flow'!$A$40:$A$46,0)),""))</f>
        <v/>
      </c>
      <c r="N37" s="46" t="str">
        <f aca="false">IF(B37="","",IF(OR(I37="",I37="Open: needs a decision",L37=""),"Open","Closed"))</f>
        <v/>
      </c>
      <c r="O37" s="46"/>
      <c r="P37" s="46" t="str">
        <f aca="false">IF(OR(B37="",I37&lt;&gt;"Save for a later revision"),"",IF(COUNTIF('Deferred edits'!$K$2:$K$201,A37)&gt;0,"Yes","● Add to Deferred edits"))</f>
        <v/>
      </c>
    </row>
    <row r="38" customFormat="false" ht="15" hidden="false" customHeight="false" outlineLevel="0" collapsed="false">
      <c r="A38" s="46" t="s">
        <v>333</v>
      </c>
      <c r="B38" s="46"/>
      <c r="C38" s="46"/>
      <c r="D38" s="46"/>
      <c r="E38" s="46"/>
      <c r="F38" s="46"/>
      <c r="G38" s="46"/>
      <c r="H38" s="46"/>
      <c r="I38" s="46"/>
      <c r="J38" s="46"/>
      <c r="K38" s="46"/>
      <c r="L38" s="46"/>
      <c r="M38" s="46" t="str">
        <f aca="false">IF(OR(B38="",I38=""),"",IFERROR(INDEX('Comment flow'!$C$40:$C$46,MATCH(I38,'Comment flow'!$A$40:$A$46,0)),""))</f>
        <v/>
      </c>
      <c r="N38" s="46" t="str">
        <f aca="false">IF(B38="","",IF(OR(I38="",I38="Open: needs a decision",L38=""),"Open","Closed"))</f>
        <v/>
      </c>
      <c r="O38" s="46"/>
      <c r="P38" s="46" t="str">
        <f aca="false">IF(OR(B38="",I38&lt;&gt;"Save for a later revision"),"",IF(COUNTIF('Deferred edits'!$K$2:$K$201,A38)&gt;0,"Yes","● Add to Deferred edits"))</f>
        <v/>
      </c>
    </row>
    <row r="39" customFormat="false" ht="15" hidden="false" customHeight="false" outlineLevel="0" collapsed="false">
      <c r="A39" s="46" t="s">
        <v>334</v>
      </c>
      <c r="B39" s="46"/>
      <c r="C39" s="46"/>
      <c r="D39" s="46"/>
      <c r="E39" s="46"/>
      <c r="F39" s="46"/>
      <c r="G39" s="46"/>
      <c r="H39" s="46"/>
      <c r="I39" s="46"/>
      <c r="J39" s="46"/>
      <c r="K39" s="46"/>
      <c r="L39" s="46"/>
      <c r="M39" s="46" t="str">
        <f aca="false">IF(OR(B39="",I39=""),"",IFERROR(INDEX('Comment flow'!$C$40:$C$46,MATCH(I39,'Comment flow'!$A$40:$A$46,0)),""))</f>
        <v/>
      </c>
      <c r="N39" s="46" t="str">
        <f aca="false">IF(B39="","",IF(OR(I39="",I39="Open: needs a decision",L39=""),"Open","Closed"))</f>
        <v/>
      </c>
      <c r="O39" s="46"/>
      <c r="P39" s="46" t="str">
        <f aca="false">IF(OR(B39="",I39&lt;&gt;"Save for a later revision"),"",IF(COUNTIF('Deferred edits'!$K$2:$K$201,A39)&gt;0,"Yes","● Add to Deferred edits"))</f>
        <v/>
      </c>
    </row>
    <row r="40" customFormat="false" ht="15" hidden="false" customHeight="false" outlineLevel="0" collapsed="false">
      <c r="A40" s="46" t="s">
        <v>335</v>
      </c>
      <c r="B40" s="46"/>
      <c r="C40" s="46"/>
      <c r="D40" s="46"/>
      <c r="E40" s="46"/>
      <c r="F40" s="46"/>
      <c r="G40" s="46"/>
      <c r="H40" s="46"/>
      <c r="I40" s="46"/>
      <c r="J40" s="46"/>
      <c r="K40" s="46"/>
      <c r="L40" s="46"/>
      <c r="M40" s="46" t="str">
        <f aca="false">IF(OR(B40="",I40=""),"",IFERROR(INDEX('Comment flow'!$C$40:$C$46,MATCH(I40,'Comment flow'!$A$40:$A$46,0)),""))</f>
        <v/>
      </c>
      <c r="N40" s="46" t="str">
        <f aca="false">IF(B40="","",IF(OR(I40="",I40="Open: needs a decision",L40=""),"Open","Closed"))</f>
        <v/>
      </c>
      <c r="O40" s="46"/>
      <c r="P40" s="46" t="str">
        <f aca="false">IF(OR(B40="",I40&lt;&gt;"Save for a later revision"),"",IF(COUNTIF('Deferred edits'!$K$2:$K$201,A40)&gt;0,"Yes","● Add to Deferred edits"))</f>
        <v/>
      </c>
    </row>
    <row r="41" customFormat="false" ht="15" hidden="false" customHeight="false" outlineLevel="0" collapsed="false">
      <c r="A41" s="46" t="s">
        <v>336</v>
      </c>
      <c r="B41" s="46"/>
      <c r="C41" s="46"/>
      <c r="D41" s="46"/>
      <c r="E41" s="46"/>
      <c r="F41" s="46"/>
      <c r="G41" s="46"/>
      <c r="H41" s="46"/>
      <c r="I41" s="46"/>
      <c r="J41" s="46"/>
      <c r="K41" s="46"/>
      <c r="L41" s="46"/>
      <c r="M41" s="46" t="str">
        <f aca="false">IF(OR(B41="",I41=""),"",IFERROR(INDEX('Comment flow'!$C$40:$C$46,MATCH(I41,'Comment flow'!$A$40:$A$46,0)),""))</f>
        <v/>
      </c>
      <c r="N41" s="46" t="str">
        <f aca="false">IF(B41="","",IF(OR(I41="",I41="Open: needs a decision",L41=""),"Open","Closed"))</f>
        <v/>
      </c>
      <c r="O41" s="46"/>
      <c r="P41" s="46" t="str">
        <f aca="false">IF(OR(B41="",I41&lt;&gt;"Save for a later revision"),"",IF(COUNTIF('Deferred edits'!$K$2:$K$201,A41)&gt;0,"Yes","● Add to Deferred edits"))</f>
        <v/>
      </c>
    </row>
    <row r="42" customFormat="false" ht="15" hidden="false" customHeight="false" outlineLevel="0" collapsed="false">
      <c r="A42" s="46" t="s">
        <v>337</v>
      </c>
      <c r="B42" s="46"/>
      <c r="C42" s="46"/>
      <c r="D42" s="46"/>
      <c r="E42" s="46"/>
      <c r="F42" s="46"/>
      <c r="G42" s="46"/>
      <c r="H42" s="46"/>
      <c r="I42" s="46"/>
      <c r="J42" s="46"/>
      <c r="K42" s="46"/>
      <c r="L42" s="46"/>
      <c r="M42" s="46" t="str">
        <f aca="false">IF(OR(B42="",I42=""),"",IFERROR(INDEX('Comment flow'!$C$40:$C$46,MATCH(I42,'Comment flow'!$A$40:$A$46,0)),""))</f>
        <v/>
      </c>
      <c r="N42" s="46" t="str">
        <f aca="false">IF(B42="","",IF(OR(I42="",I42="Open: needs a decision",L42=""),"Open","Closed"))</f>
        <v/>
      </c>
      <c r="O42" s="46"/>
      <c r="P42" s="46" t="str">
        <f aca="false">IF(OR(B42="",I42&lt;&gt;"Save for a later revision"),"",IF(COUNTIF('Deferred edits'!$K$2:$K$201,A42)&gt;0,"Yes","● Add to Deferred edits"))</f>
        <v/>
      </c>
    </row>
    <row r="43" customFormat="false" ht="15" hidden="false" customHeight="false" outlineLevel="0" collapsed="false">
      <c r="A43" s="46" t="s">
        <v>338</v>
      </c>
      <c r="B43" s="46"/>
      <c r="C43" s="46"/>
      <c r="D43" s="46"/>
      <c r="E43" s="46"/>
      <c r="F43" s="46"/>
      <c r="G43" s="46"/>
      <c r="H43" s="46"/>
      <c r="I43" s="46"/>
      <c r="J43" s="46"/>
      <c r="K43" s="46"/>
      <c r="L43" s="46"/>
      <c r="M43" s="46" t="str">
        <f aca="false">IF(OR(B43="",I43=""),"",IFERROR(INDEX('Comment flow'!$C$40:$C$46,MATCH(I43,'Comment flow'!$A$40:$A$46,0)),""))</f>
        <v/>
      </c>
      <c r="N43" s="46" t="str">
        <f aca="false">IF(B43="","",IF(OR(I43="",I43="Open: needs a decision",L43=""),"Open","Closed"))</f>
        <v/>
      </c>
      <c r="O43" s="46"/>
      <c r="P43" s="46" t="str">
        <f aca="false">IF(OR(B43="",I43&lt;&gt;"Save for a later revision"),"",IF(COUNTIF('Deferred edits'!$K$2:$K$201,A43)&gt;0,"Yes","● Add to Deferred edits"))</f>
        <v/>
      </c>
    </row>
    <row r="44" customFormat="false" ht="15" hidden="false" customHeight="false" outlineLevel="0" collapsed="false">
      <c r="A44" s="46" t="s">
        <v>339</v>
      </c>
      <c r="B44" s="46"/>
      <c r="C44" s="46"/>
      <c r="D44" s="46"/>
      <c r="E44" s="46"/>
      <c r="F44" s="46"/>
      <c r="G44" s="46"/>
      <c r="H44" s="46"/>
      <c r="I44" s="46"/>
      <c r="J44" s="46"/>
      <c r="K44" s="46"/>
      <c r="L44" s="46"/>
      <c r="M44" s="46" t="str">
        <f aca="false">IF(OR(B44="",I44=""),"",IFERROR(INDEX('Comment flow'!$C$40:$C$46,MATCH(I44,'Comment flow'!$A$40:$A$46,0)),""))</f>
        <v/>
      </c>
      <c r="N44" s="46" t="str">
        <f aca="false">IF(B44="","",IF(OR(I44="",I44="Open: needs a decision",L44=""),"Open","Closed"))</f>
        <v/>
      </c>
      <c r="O44" s="46"/>
      <c r="P44" s="46" t="str">
        <f aca="false">IF(OR(B44="",I44&lt;&gt;"Save for a later revision"),"",IF(COUNTIF('Deferred edits'!$K$2:$K$201,A44)&gt;0,"Yes","● Add to Deferred edits"))</f>
        <v/>
      </c>
    </row>
    <row r="45" customFormat="false" ht="15" hidden="false" customHeight="false" outlineLevel="0" collapsed="false">
      <c r="A45" s="46" t="s">
        <v>340</v>
      </c>
      <c r="B45" s="46"/>
      <c r="C45" s="46"/>
      <c r="D45" s="46"/>
      <c r="E45" s="46"/>
      <c r="F45" s="46"/>
      <c r="G45" s="46"/>
      <c r="H45" s="46"/>
      <c r="I45" s="46"/>
      <c r="J45" s="46"/>
      <c r="K45" s="46"/>
      <c r="L45" s="46"/>
      <c r="M45" s="46" t="str">
        <f aca="false">IF(OR(B45="",I45=""),"",IFERROR(INDEX('Comment flow'!$C$40:$C$46,MATCH(I45,'Comment flow'!$A$40:$A$46,0)),""))</f>
        <v/>
      </c>
      <c r="N45" s="46" t="str">
        <f aca="false">IF(B45="","",IF(OR(I45="",I45="Open: needs a decision",L45=""),"Open","Closed"))</f>
        <v/>
      </c>
      <c r="O45" s="46"/>
      <c r="P45" s="46" t="str">
        <f aca="false">IF(OR(B45="",I45&lt;&gt;"Save for a later revision"),"",IF(COUNTIF('Deferred edits'!$K$2:$K$201,A45)&gt;0,"Yes","● Add to Deferred edits"))</f>
        <v/>
      </c>
    </row>
    <row r="46" customFormat="false" ht="15" hidden="false" customHeight="false" outlineLevel="0" collapsed="false">
      <c r="A46" s="46" t="s">
        <v>341</v>
      </c>
      <c r="B46" s="46"/>
      <c r="C46" s="46"/>
      <c r="D46" s="46"/>
      <c r="E46" s="46"/>
      <c r="F46" s="46"/>
      <c r="G46" s="46"/>
      <c r="H46" s="46"/>
      <c r="I46" s="46"/>
      <c r="J46" s="46"/>
      <c r="K46" s="46"/>
      <c r="L46" s="46"/>
      <c r="M46" s="46" t="str">
        <f aca="false">IF(OR(B46="",I46=""),"",IFERROR(INDEX('Comment flow'!$C$40:$C$46,MATCH(I46,'Comment flow'!$A$40:$A$46,0)),""))</f>
        <v/>
      </c>
      <c r="N46" s="46" t="str">
        <f aca="false">IF(B46="","",IF(OR(I46="",I46="Open: needs a decision",L46=""),"Open","Closed"))</f>
        <v/>
      </c>
      <c r="O46" s="46"/>
      <c r="P46" s="46" t="str">
        <f aca="false">IF(OR(B46="",I46&lt;&gt;"Save for a later revision"),"",IF(COUNTIF('Deferred edits'!$K$2:$K$201,A46)&gt;0,"Yes","● Add to Deferred edits"))</f>
        <v/>
      </c>
    </row>
    <row r="47" customFormat="false" ht="15" hidden="false" customHeight="false" outlineLevel="0" collapsed="false">
      <c r="A47" s="46" t="s">
        <v>342</v>
      </c>
      <c r="B47" s="46"/>
      <c r="C47" s="46"/>
      <c r="D47" s="46"/>
      <c r="E47" s="46"/>
      <c r="F47" s="46"/>
      <c r="G47" s="46"/>
      <c r="H47" s="46"/>
      <c r="I47" s="46"/>
      <c r="J47" s="46"/>
      <c r="K47" s="46"/>
      <c r="L47" s="46"/>
      <c r="M47" s="46" t="str">
        <f aca="false">IF(OR(B47="",I47=""),"",IFERROR(INDEX('Comment flow'!$C$40:$C$46,MATCH(I47,'Comment flow'!$A$40:$A$46,0)),""))</f>
        <v/>
      </c>
      <c r="N47" s="46" t="str">
        <f aca="false">IF(B47="","",IF(OR(I47="",I47="Open: needs a decision",L47=""),"Open","Closed"))</f>
        <v/>
      </c>
      <c r="O47" s="46"/>
      <c r="P47" s="46" t="str">
        <f aca="false">IF(OR(B47="",I47&lt;&gt;"Save for a later revision"),"",IF(COUNTIF('Deferred edits'!$K$2:$K$201,A47)&gt;0,"Yes","● Add to Deferred edits"))</f>
        <v/>
      </c>
    </row>
    <row r="48" customFormat="false" ht="15" hidden="false" customHeight="false" outlineLevel="0" collapsed="false">
      <c r="A48" s="46" t="s">
        <v>343</v>
      </c>
      <c r="B48" s="46"/>
      <c r="C48" s="46"/>
      <c r="D48" s="46"/>
      <c r="E48" s="46"/>
      <c r="F48" s="46"/>
      <c r="G48" s="46"/>
      <c r="H48" s="46"/>
      <c r="I48" s="46"/>
      <c r="J48" s="46"/>
      <c r="K48" s="46"/>
      <c r="L48" s="46"/>
      <c r="M48" s="46" t="str">
        <f aca="false">IF(OR(B48="",I48=""),"",IFERROR(INDEX('Comment flow'!$C$40:$C$46,MATCH(I48,'Comment flow'!$A$40:$A$46,0)),""))</f>
        <v/>
      </c>
      <c r="N48" s="46" t="str">
        <f aca="false">IF(B48="","",IF(OR(I48="",I48="Open: needs a decision",L48=""),"Open","Closed"))</f>
        <v/>
      </c>
      <c r="O48" s="46"/>
      <c r="P48" s="46" t="str">
        <f aca="false">IF(OR(B48="",I48&lt;&gt;"Save for a later revision"),"",IF(COUNTIF('Deferred edits'!$K$2:$K$201,A48)&gt;0,"Yes","● Add to Deferred edits"))</f>
        <v/>
      </c>
    </row>
    <row r="49" customFormat="false" ht="15" hidden="false" customHeight="false" outlineLevel="0" collapsed="false">
      <c r="A49" s="46" t="s">
        <v>344</v>
      </c>
      <c r="B49" s="46"/>
      <c r="C49" s="46"/>
      <c r="D49" s="46"/>
      <c r="E49" s="46"/>
      <c r="F49" s="46"/>
      <c r="G49" s="46"/>
      <c r="H49" s="46"/>
      <c r="I49" s="46"/>
      <c r="J49" s="46"/>
      <c r="K49" s="46"/>
      <c r="L49" s="46"/>
      <c r="M49" s="46" t="str">
        <f aca="false">IF(OR(B49="",I49=""),"",IFERROR(INDEX('Comment flow'!$C$40:$C$46,MATCH(I49,'Comment flow'!$A$40:$A$46,0)),""))</f>
        <v/>
      </c>
      <c r="N49" s="46" t="str">
        <f aca="false">IF(B49="","",IF(OR(I49="",I49="Open: needs a decision",L49=""),"Open","Closed"))</f>
        <v/>
      </c>
      <c r="O49" s="46"/>
      <c r="P49" s="46" t="str">
        <f aca="false">IF(OR(B49="",I49&lt;&gt;"Save for a later revision"),"",IF(COUNTIF('Deferred edits'!$K$2:$K$201,A49)&gt;0,"Yes","● Add to Deferred edits"))</f>
        <v/>
      </c>
    </row>
    <row r="50" customFormat="false" ht="15" hidden="false" customHeight="false" outlineLevel="0" collapsed="false">
      <c r="A50" s="46" t="s">
        <v>345</v>
      </c>
      <c r="B50" s="46"/>
      <c r="C50" s="46"/>
      <c r="D50" s="46"/>
      <c r="E50" s="46"/>
      <c r="F50" s="46"/>
      <c r="G50" s="46"/>
      <c r="H50" s="46"/>
      <c r="I50" s="46"/>
      <c r="J50" s="46"/>
      <c r="K50" s="46"/>
      <c r="L50" s="46"/>
      <c r="M50" s="46" t="str">
        <f aca="false">IF(OR(B50="",I50=""),"",IFERROR(INDEX('Comment flow'!$C$40:$C$46,MATCH(I50,'Comment flow'!$A$40:$A$46,0)),""))</f>
        <v/>
      </c>
      <c r="N50" s="46" t="str">
        <f aca="false">IF(B50="","",IF(OR(I50="",I50="Open: needs a decision",L50=""),"Open","Closed"))</f>
        <v/>
      </c>
      <c r="O50" s="46"/>
      <c r="P50" s="46" t="str">
        <f aca="false">IF(OR(B50="",I50&lt;&gt;"Save for a later revision"),"",IF(COUNTIF('Deferred edits'!$K$2:$K$201,A50)&gt;0,"Yes","● Add to Deferred edits"))</f>
        <v/>
      </c>
    </row>
    <row r="51" customFormat="false" ht="15" hidden="false" customHeight="false" outlineLevel="0" collapsed="false">
      <c r="A51" s="46" t="s">
        <v>346</v>
      </c>
      <c r="B51" s="46"/>
      <c r="C51" s="46"/>
      <c r="D51" s="46"/>
      <c r="E51" s="46"/>
      <c r="F51" s="46"/>
      <c r="G51" s="46"/>
      <c r="H51" s="46"/>
      <c r="I51" s="46"/>
      <c r="J51" s="46"/>
      <c r="K51" s="46"/>
      <c r="L51" s="46"/>
      <c r="M51" s="46" t="str">
        <f aca="false">IF(OR(B51="",I51=""),"",IFERROR(INDEX('Comment flow'!$C$40:$C$46,MATCH(I51,'Comment flow'!$A$40:$A$46,0)),""))</f>
        <v/>
      </c>
      <c r="N51" s="46" t="str">
        <f aca="false">IF(B51="","",IF(OR(I51="",I51="Open: needs a decision",L51=""),"Open","Closed"))</f>
        <v/>
      </c>
      <c r="O51" s="46"/>
      <c r="P51" s="46" t="str">
        <f aca="false">IF(OR(B51="",I51&lt;&gt;"Save for a later revision"),"",IF(COUNTIF('Deferred edits'!$K$2:$K$201,A51)&gt;0,"Yes","● Add to Deferred edits"))</f>
        <v/>
      </c>
    </row>
    <row r="52" customFormat="false" ht="15" hidden="false" customHeight="false" outlineLevel="0" collapsed="false">
      <c r="A52" s="46" t="s">
        <v>347</v>
      </c>
      <c r="B52" s="46"/>
      <c r="C52" s="46"/>
      <c r="D52" s="46"/>
      <c r="E52" s="46"/>
      <c r="F52" s="46"/>
      <c r="G52" s="46"/>
      <c r="H52" s="46"/>
      <c r="I52" s="46"/>
      <c r="J52" s="46"/>
      <c r="K52" s="46"/>
      <c r="L52" s="46"/>
      <c r="M52" s="46" t="str">
        <f aca="false">IF(OR(B52="",I52=""),"",IFERROR(INDEX('Comment flow'!$C$40:$C$46,MATCH(I52,'Comment flow'!$A$40:$A$46,0)),""))</f>
        <v/>
      </c>
      <c r="N52" s="46" t="str">
        <f aca="false">IF(B52="","",IF(OR(I52="",I52="Open: needs a decision",L52=""),"Open","Closed"))</f>
        <v/>
      </c>
      <c r="O52" s="46"/>
      <c r="P52" s="46" t="str">
        <f aca="false">IF(OR(B52="",I52&lt;&gt;"Save for a later revision"),"",IF(COUNTIF('Deferred edits'!$K$2:$K$201,A52)&gt;0,"Yes","● Add to Deferred edits"))</f>
        <v/>
      </c>
    </row>
    <row r="53" customFormat="false" ht="15" hidden="false" customHeight="false" outlineLevel="0" collapsed="false">
      <c r="A53" s="46" t="s">
        <v>348</v>
      </c>
      <c r="B53" s="46"/>
      <c r="C53" s="46"/>
      <c r="D53" s="46"/>
      <c r="E53" s="46"/>
      <c r="F53" s="46"/>
      <c r="G53" s="46"/>
      <c r="H53" s="46"/>
      <c r="I53" s="46"/>
      <c r="J53" s="46"/>
      <c r="K53" s="46"/>
      <c r="L53" s="46"/>
      <c r="M53" s="46" t="str">
        <f aca="false">IF(OR(B53="",I53=""),"",IFERROR(INDEX('Comment flow'!$C$40:$C$46,MATCH(I53,'Comment flow'!$A$40:$A$46,0)),""))</f>
        <v/>
      </c>
      <c r="N53" s="46" t="str">
        <f aca="false">IF(B53="","",IF(OR(I53="",I53="Open: needs a decision",L53=""),"Open","Closed"))</f>
        <v/>
      </c>
      <c r="O53" s="46"/>
      <c r="P53" s="46" t="str">
        <f aca="false">IF(OR(B53="",I53&lt;&gt;"Save for a later revision"),"",IF(COUNTIF('Deferred edits'!$K$2:$K$201,A53)&gt;0,"Yes","● Add to Deferred edits"))</f>
        <v/>
      </c>
    </row>
    <row r="54" customFormat="false" ht="15" hidden="false" customHeight="false" outlineLevel="0" collapsed="false">
      <c r="A54" s="46" t="s">
        <v>349</v>
      </c>
      <c r="B54" s="46"/>
      <c r="C54" s="46"/>
      <c r="D54" s="46"/>
      <c r="E54" s="46"/>
      <c r="F54" s="46"/>
      <c r="G54" s="46"/>
      <c r="H54" s="46"/>
      <c r="I54" s="46"/>
      <c r="J54" s="46"/>
      <c r="K54" s="46"/>
      <c r="L54" s="46"/>
      <c r="M54" s="46" t="str">
        <f aca="false">IF(OR(B54="",I54=""),"",IFERROR(INDEX('Comment flow'!$C$40:$C$46,MATCH(I54,'Comment flow'!$A$40:$A$46,0)),""))</f>
        <v/>
      </c>
      <c r="N54" s="46" t="str">
        <f aca="false">IF(B54="","",IF(OR(I54="",I54="Open: needs a decision",L54=""),"Open","Closed"))</f>
        <v/>
      </c>
      <c r="O54" s="46"/>
      <c r="P54" s="46" t="str">
        <f aca="false">IF(OR(B54="",I54&lt;&gt;"Save for a later revision"),"",IF(COUNTIF('Deferred edits'!$K$2:$K$201,A54)&gt;0,"Yes","● Add to Deferred edits"))</f>
        <v/>
      </c>
    </row>
    <row r="55" customFormat="false" ht="15" hidden="false" customHeight="false" outlineLevel="0" collapsed="false">
      <c r="A55" s="46" t="s">
        <v>350</v>
      </c>
      <c r="B55" s="46"/>
      <c r="C55" s="46"/>
      <c r="D55" s="46"/>
      <c r="E55" s="46"/>
      <c r="F55" s="46"/>
      <c r="G55" s="46"/>
      <c r="H55" s="46"/>
      <c r="I55" s="46"/>
      <c r="J55" s="46"/>
      <c r="K55" s="46"/>
      <c r="L55" s="46"/>
      <c r="M55" s="46" t="str">
        <f aca="false">IF(OR(B55="",I55=""),"",IFERROR(INDEX('Comment flow'!$C$40:$C$46,MATCH(I55,'Comment flow'!$A$40:$A$46,0)),""))</f>
        <v/>
      </c>
      <c r="N55" s="46" t="str">
        <f aca="false">IF(B55="","",IF(OR(I55="",I55="Open: needs a decision",L55=""),"Open","Closed"))</f>
        <v/>
      </c>
      <c r="O55" s="46"/>
      <c r="P55" s="46" t="str">
        <f aca="false">IF(OR(B55="",I55&lt;&gt;"Save for a later revision"),"",IF(COUNTIF('Deferred edits'!$K$2:$K$201,A55)&gt;0,"Yes","● Add to Deferred edits"))</f>
        <v/>
      </c>
    </row>
    <row r="56" customFormat="false" ht="15" hidden="false" customHeight="false" outlineLevel="0" collapsed="false">
      <c r="A56" s="46" t="s">
        <v>351</v>
      </c>
      <c r="B56" s="46"/>
      <c r="C56" s="46"/>
      <c r="D56" s="46"/>
      <c r="E56" s="46"/>
      <c r="F56" s="46"/>
      <c r="G56" s="46"/>
      <c r="H56" s="46"/>
      <c r="I56" s="46"/>
      <c r="J56" s="46"/>
      <c r="K56" s="46"/>
      <c r="L56" s="46"/>
      <c r="M56" s="46" t="str">
        <f aca="false">IF(OR(B56="",I56=""),"",IFERROR(INDEX('Comment flow'!$C$40:$C$46,MATCH(I56,'Comment flow'!$A$40:$A$46,0)),""))</f>
        <v/>
      </c>
      <c r="N56" s="46" t="str">
        <f aca="false">IF(B56="","",IF(OR(I56="",I56="Open: needs a decision",L56=""),"Open","Closed"))</f>
        <v/>
      </c>
      <c r="O56" s="46"/>
      <c r="P56" s="46" t="str">
        <f aca="false">IF(OR(B56="",I56&lt;&gt;"Save for a later revision"),"",IF(COUNTIF('Deferred edits'!$K$2:$K$201,A56)&gt;0,"Yes","● Add to Deferred edits"))</f>
        <v/>
      </c>
    </row>
    <row r="57" customFormat="false" ht="15" hidden="false" customHeight="false" outlineLevel="0" collapsed="false">
      <c r="A57" s="46" t="s">
        <v>352</v>
      </c>
      <c r="B57" s="46"/>
      <c r="C57" s="46"/>
      <c r="D57" s="46"/>
      <c r="E57" s="46"/>
      <c r="F57" s="46"/>
      <c r="G57" s="46"/>
      <c r="H57" s="46"/>
      <c r="I57" s="46"/>
      <c r="J57" s="46"/>
      <c r="K57" s="46"/>
      <c r="L57" s="46"/>
      <c r="M57" s="46" t="str">
        <f aca="false">IF(OR(B57="",I57=""),"",IFERROR(INDEX('Comment flow'!$C$40:$C$46,MATCH(I57,'Comment flow'!$A$40:$A$46,0)),""))</f>
        <v/>
      </c>
      <c r="N57" s="46" t="str">
        <f aca="false">IF(B57="","",IF(OR(I57="",I57="Open: needs a decision",L57=""),"Open","Closed"))</f>
        <v/>
      </c>
      <c r="O57" s="46"/>
      <c r="P57" s="46" t="str">
        <f aca="false">IF(OR(B57="",I57&lt;&gt;"Save for a later revision"),"",IF(COUNTIF('Deferred edits'!$K$2:$K$201,A57)&gt;0,"Yes","● Add to Deferred edits"))</f>
        <v/>
      </c>
    </row>
    <row r="58" customFormat="false" ht="15" hidden="false" customHeight="false" outlineLevel="0" collapsed="false">
      <c r="A58" s="46" t="s">
        <v>353</v>
      </c>
      <c r="B58" s="46"/>
      <c r="C58" s="46"/>
      <c r="D58" s="46"/>
      <c r="E58" s="46"/>
      <c r="F58" s="46"/>
      <c r="G58" s="46"/>
      <c r="H58" s="46"/>
      <c r="I58" s="46"/>
      <c r="J58" s="46"/>
      <c r="K58" s="46"/>
      <c r="L58" s="46"/>
      <c r="M58" s="46" t="str">
        <f aca="false">IF(OR(B58="",I58=""),"",IFERROR(INDEX('Comment flow'!$C$40:$C$46,MATCH(I58,'Comment flow'!$A$40:$A$46,0)),""))</f>
        <v/>
      </c>
      <c r="N58" s="46" t="str">
        <f aca="false">IF(B58="","",IF(OR(I58="",I58="Open: needs a decision",L58=""),"Open","Closed"))</f>
        <v/>
      </c>
      <c r="O58" s="46"/>
      <c r="P58" s="46" t="str">
        <f aca="false">IF(OR(B58="",I58&lt;&gt;"Save for a later revision"),"",IF(COUNTIF('Deferred edits'!$K$2:$K$201,A58)&gt;0,"Yes","● Add to Deferred edits"))</f>
        <v/>
      </c>
    </row>
    <row r="59" customFormat="false" ht="15" hidden="false" customHeight="false" outlineLevel="0" collapsed="false">
      <c r="A59" s="46" t="s">
        <v>354</v>
      </c>
      <c r="B59" s="46"/>
      <c r="C59" s="46"/>
      <c r="D59" s="46"/>
      <c r="E59" s="46"/>
      <c r="F59" s="46"/>
      <c r="G59" s="46"/>
      <c r="H59" s="46"/>
      <c r="I59" s="46"/>
      <c r="J59" s="46"/>
      <c r="K59" s="46"/>
      <c r="L59" s="46"/>
      <c r="M59" s="46" t="str">
        <f aca="false">IF(OR(B59="",I59=""),"",IFERROR(INDEX('Comment flow'!$C$40:$C$46,MATCH(I59,'Comment flow'!$A$40:$A$46,0)),""))</f>
        <v/>
      </c>
      <c r="N59" s="46" t="str">
        <f aca="false">IF(B59="","",IF(OR(I59="",I59="Open: needs a decision",L59=""),"Open","Closed"))</f>
        <v/>
      </c>
      <c r="O59" s="46"/>
      <c r="P59" s="46" t="str">
        <f aca="false">IF(OR(B59="",I59&lt;&gt;"Save for a later revision"),"",IF(COUNTIF('Deferred edits'!$K$2:$K$201,A59)&gt;0,"Yes","● Add to Deferred edits"))</f>
        <v/>
      </c>
    </row>
    <row r="60" customFormat="false" ht="15" hidden="false" customHeight="false" outlineLevel="0" collapsed="false">
      <c r="A60" s="46" t="s">
        <v>355</v>
      </c>
      <c r="B60" s="46"/>
      <c r="C60" s="46"/>
      <c r="D60" s="46"/>
      <c r="E60" s="46"/>
      <c r="F60" s="46"/>
      <c r="G60" s="46"/>
      <c r="H60" s="46"/>
      <c r="I60" s="46"/>
      <c r="J60" s="46"/>
      <c r="K60" s="46"/>
      <c r="L60" s="46"/>
      <c r="M60" s="46" t="str">
        <f aca="false">IF(OR(B60="",I60=""),"",IFERROR(INDEX('Comment flow'!$C$40:$C$46,MATCH(I60,'Comment flow'!$A$40:$A$46,0)),""))</f>
        <v/>
      </c>
      <c r="N60" s="46" t="str">
        <f aca="false">IF(B60="","",IF(OR(I60="",I60="Open: needs a decision",L60=""),"Open","Closed"))</f>
        <v/>
      </c>
      <c r="O60" s="46"/>
      <c r="P60" s="46" t="str">
        <f aca="false">IF(OR(B60="",I60&lt;&gt;"Save for a later revision"),"",IF(COUNTIF('Deferred edits'!$K$2:$K$201,A60)&gt;0,"Yes","● Add to Deferred edits"))</f>
        <v/>
      </c>
    </row>
    <row r="61" customFormat="false" ht="15" hidden="false" customHeight="false" outlineLevel="0" collapsed="false">
      <c r="A61" s="46" t="s">
        <v>356</v>
      </c>
      <c r="B61" s="46"/>
      <c r="C61" s="46"/>
      <c r="D61" s="46"/>
      <c r="E61" s="46"/>
      <c r="F61" s="46"/>
      <c r="G61" s="46"/>
      <c r="H61" s="46"/>
      <c r="I61" s="46"/>
      <c r="J61" s="46"/>
      <c r="K61" s="46"/>
      <c r="L61" s="46"/>
      <c r="M61" s="46" t="str">
        <f aca="false">IF(OR(B61="",I61=""),"",IFERROR(INDEX('Comment flow'!$C$40:$C$46,MATCH(I61,'Comment flow'!$A$40:$A$46,0)),""))</f>
        <v/>
      </c>
      <c r="N61" s="46" t="str">
        <f aca="false">IF(B61="","",IF(OR(I61="",I61="Open: needs a decision",L61=""),"Open","Closed"))</f>
        <v/>
      </c>
      <c r="O61" s="46"/>
      <c r="P61" s="46" t="str">
        <f aca="false">IF(OR(B61="",I61&lt;&gt;"Save for a later revision"),"",IF(COUNTIF('Deferred edits'!$K$2:$K$201,A61)&gt;0,"Yes","● Add to Deferred edits"))</f>
        <v/>
      </c>
    </row>
    <row r="62" customFormat="false" ht="15" hidden="false" customHeight="false" outlineLevel="0" collapsed="false">
      <c r="A62" s="46" t="s">
        <v>357</v>
      </c>
      <c r="B62" s="46"/>
      <c r="C62" s="46"/>
      <c r="D62" s="46"/>
      <c r="E62" s="46"/>
      <c r="F62" s="46"/>
      <c r="G62" s="46"/>
      <c r="H62" s="46"/>
      <c r="I62" s="46"/>
      <c r="J62" s="46"/>
      <c r="K62" s="46"/>
      <c r="L62" s="46"/>
      <c r="M62" s="46" t="str">
        <f aca="false">IF(OR(B62="",I62=""),"",IFERROR(INDEX('Comment flow'!$C$40:$C$46,MATCH(I62,'Comment flow'!$A$40:$A$46,0)),""))</f>
        <v/>
      </c>
      <c r="N62" s="46" t="str">
        <f aca="false">IF(B62="","",IF(OR(I62="",I62="Open: needs a decision",L62=""),"Open","Closed"))</f>
        <v/>
      </c>
      <c r="O62" s="46"/>
      <c r="P62" s="46" t="str">
        <f aca="false">IF(OR(B62="",I62&lt;&gt;"Save for a later revision"),"",IF(COUNTIF('Deferred edits'!$K$2:$K$201,A62)&gt;0,"Yes","● Add to Deferred edits"))</f>
        <v/>
      </c>
    </row>
    <row r="63" customFormat="false" ht="15" hidden="false" customHeight="false" outlineLevel="0" collapsed="false">
      <c r="A63" s="46" t="s">
        <v>358</v>
      </c>
      <c r="B63" s="46"/>
      <c r="C63" s="46"/>
      <c r="D63" s="46"/>
      <c r="E63" s="46"/>
      <c r="F63" s="46"/>
      <c r="G63" s="46"/>
      <c r="H63" s="46"/>
      <c r="I63" s="46"/>
      <c r="J63" s="46"/>
      <c r="K63" s="46"/>
      <c r="L63" s="46"/>
      <c r="M63" s="46" t="str">
        <f aca="false">IF(OR(B63="",I63=""),"",IFERROR(INDEX('Comment flow'!$C$40:$C$46,MATCH(I63,'Comment flow'!$A$40:$A$46,0)),""))</f>
        <v/>
      </c>
      <c r="N63" s="46" t="str">
        <f aca="false">IF(B63="","",IF(OR(I63="",I63="Open: needs a decision",L63=""),"Open","Closed"))</f>
        <v/>
      </c>
      <c r="O63" s="46"/>
      <c r="P63" s="46" t="str">
        <f aca="false">IF(OR(B63="",I63&lt;&gt;"Save for a later revision"),"",IF(COUNTIF('Deferred edits'!$K$2:$K$201,A63)&gt;0,"Yes","● Add to Deferred edits"))</f>
        <v/>
      </c>
    </row>
    <row r="64" customFormat="false" ht="15" hidden="false" customHeight="false" outlineLevel="0" collapsed="false">
      <c r="A64" s="46" t="s">
        <v>359</v>
      </c>
      <c r="B64" s="46"/>
      <c r="C64" s="46"/>
      <c r="D64" s="46"/>
      <c r="E64" s="46"/>
      <c r="F64" s="46"/>
      <c r="G64" s="46"/>
      <c r="H64" s="46"/>
      <c r="I64" s="46"/>
      <c r="J64" s="46"/>
      <c r="K64" s="46"/>
      <c r="L64" s="46"/>
      <c r="M64" s="46" t="str">
        <f aca="false">IF(OR(B64="",I64=""),"",IFERROR(INDEX('Comment flow'!$C$40:$C$46,MATCH(I64,'Comment flow'!$A$40:$A$46,0)),""))</f>
        <v/>
      </c>
      <c r="N64" s="46" t="str">
        <f aca="false">IF(B64="","",IF(OR(I64="",I64="Open: needs a decision",L64=""),"Open","Closed"))</f>
        <v/>
      </c>
      <c r="O64" s="46"/>
      <c r="P64" s="46" t="str">
        <f aca="false">IF(OR(B64="",I64&lt;&gt;"Save for a later revision"),"",IF(COUNTIF('Deferred edits'!$K$2:$K$201,A64)&gt;0,"Yes","● Add to Deferred edits"))</f>
        <v/>
      </c>
    </row>
    <row r="65" customFormat="false" ht="15" hidden="false" customHeight="false" outlineLevel="0" collapsed="false">
      <c r="A65" s="46" t="s">
        <v>360</v>
      </c>
      <c r="B65" s="46"/>
      <c r="C65" s="46"/>
      <c r="D65" s="46"/>
      <c r="E65" s="46"/>
      <c r="F65" s="46"/>
      <c r="G65" s="46"/>
      <c r="H65" s="46"/>
      <c r="I65" s="46"/>
      <c r="J65" s="46"/>
      <c r="K65" s="46"/>
      <c r="L65" s="46"/>
      <c r="M65" s="46" t="str">
        <f aca="false">IF(OR(B65="",I65=""),"",IFERROR(INDEX('Comment flow'!$C$40:$C$46,MATCH(I65,'Comment flow'!$A$40:$A$46,0)),""))</f>
        <v/>
      </c>
      <c r="N65" s="46" t="str">
        <f aca="false">IF(B65="","",IF(OR(I65="",I65="Open: needs a decision",L65=""),"Open","Closed"))</f>
        <v/>
      </c>
      <c r="O65" s="46"/>
      <c r="P65" s="46" t="str">
        <f aca="false">IF(OR(B65="",I65&lt;&gt;"Save for a later revision"),"",IF(COUNTIF('Deferred edits'!$K$2:$K$201,A65)&gt;0,"Yes","● Add to Deferred edits"))</f>
        <v/>
      </c>
    </row>
    <row r="66" customFormat="false" ht="15" hidden="false" customHeight="false" outlineLevel="0" collapsed="false">
      <c r="A66" s="46" t="s">
        <v>361</v>
      </c>
      <c r="B66" s="46"/>
      <c r="C66" s="46"/>
      <c r="D66" s="46"/>
      <c r="E66" s="46"/>
      <c r="F66" s="46"/>
      <c r="G66" s="46"/>
      <c r="H66" s="46"/>
      <c r="I66" s="46"/>
      <c r="J66" s="46"/>
      <c r="K66" s="46"/>
      <c r="L66" s="46"/>
      <c r="M66" s="46" t="str">
        <f aca="false">IF(OR(B66="",I66=""),"",IFERROR(INDEX('Comment flow'!$C$40:$C$46,MATCH(I66,'Comment flow'!$A$40:$A$46,0)),""))</f>
        <v/>
      </c>
      <c r="N66" s="46" t="str">
        <f aca="false">IF(B66="","",IF(OR(I66="",I66="Open: needs a decision",L66=""),"Open","Closed"))</f>
        <v/>
      </c>
      <c r="O66" s="46"/>
      <c r="P66" s="46" t="str">
        <f aca="false">IF(OR(B66="",I66&lt;&gt;"Save for a later revision"),"",IF(COUNTIF('Deferred edits'!$K$2:$K$201,A66)&gt;0,"Yes","● Add to Deferred edits"))</f>
        <v/>
      </c>
    </row>
    <row r="67" customFormat="false" ht="15" hidden="false" customHeight="false" outlineLevel="0" collapsed="false">
      <c r="A67" s="46" t="s">
        <v>362</v>
      </c>
      <c r="B67" s="46"/>
      <c r="C67" s="46"/>
      <c r="D67" s="46"/>
      <c r="E67" s="46"/>
      <c r="F67" s="46"/>
      <c r="G67" s="46"/>
      <c r="H67" s="46"/>
      <c r="I67" s="46"/>
      <c r="J67" s="46"/>
      <c r="K67" s="46"/>
      <c r="L67" s="46"/>
      <c r="M67" s="46" t="str">
        <f aca="false">IF(OR(B67="",I67=""),"",IFERROR(INDEX('Comment flow'!$C$40:$C$46,MATCH(I67,'Comment flow'!$A$40:$A$46,0)),""))</f>
        <v/>
      </c>
      <c r="N67" s="46" t="str">
        <f aca="false">IF(B67="","",IF(OR(I67="",I67="Open: needs a decision",L67=""),"Open","Closed"))</f>
        <v/>
      </c>
      <c r="O67" s="46"/>
      <c r="P67" s="46" t="str">
        <f aca="false">IF(OR(B67="",I67&lt;&gt;"Save for a later revision"),"",IF(COUNTIF('Deferred edits'!$K$2:$K$201,A67)&gt;0,"Yes","● Add to Deferred edits"))</f>
        <v/>
      </c>
    </row>
    <row r="68" customFormat="false" ht="15" hidden="false" customHeight="false" outlineLevel="0" collapsed="false">
      <c r="A68" s="46" t="s">
        <v>363</v>
      </c>
      <c r="B68" s="46"/>
      <c r="C68" s="46"/>
      <c r="D68" s="46"/>
      <c r="E68" s="46"/>
      <c r="F68" s="46"/>
      <c r="G68" s="46"/>
      <c r="H68" s="46"/>
      <c r="I68" s="46"/>
      <c r="J68" s="46"/>
      <c r="K68" s="46"/>
      <c r="L68" s="46"/>
      <c r="M68" s="46" t="str">
        <f aca="false">IF(OR(B68="",I68=""),"",IFERROR(INDEX('Comment flow'!$C$40:$C$46,MATCH(I68,'Comment flow'!$A$40:$A$46,0)),""))</f>
        <v/>
      </c>
      <c r="N68" s="46" t="str">
        <f aca="false">IF(B68="","",IF(OR(I68="",I68="Open: needs a decision",L68=""),"Open","Closed"))</f>
        <v/>
      </c>
      <c r="O68" s="46"/>
      <c r="P68" s="46" t="str">
        <f aca="false">IF(OR(B68="",I68&lt;&gt;"Save for a later revision"),"",IF(COUNTIF('Deferred edits'!$K$2:$K$201,A68)&gt;0,"Yes","● Add to Deferred edits"))</f>
        <v/>
      </c>
    </row>
    <row r="69" customFormat="false" ht="15" hidden="false" customHeight="false" outlineLevel="0" collapsed="false">
      <c r="A69" s="46" t="s">
        <v>364</v>
      </c>
      <c r="B69" s="46"/>
      <c r="C69" s="46"/>
      <c r="D69" s="46"/>
      <c r="E69" s="46"/>
      <c r="F69" s="46"/>
      <c r="G69" s="46"/>
      <c r="H69" s="46"/>
      <c r="I69" s="46"/>
      <c r="J69" s="46"/>
      <c r="K69" s="46"/>
      <c r="L69" s="46"/>
      <c r="M69" s="46" t="str">
        <f aca="false">IF(OR(B69="",I69=""),"",IFERROR(INDEX('Comment flow'!$C$40:$C$46,MATCH(I69,'Comment flow'!$A$40:$A$46,0)),""))</f>
        <v/>
      </c>
      <c r="N69" s="46" t="str">
        <f aca="false">IF(B69="","",IF(OR(I69="",I69="Open: needs a decision",L69=""),"Open","Closed"))</f>
        <v/>
      </c>
      <c r="O69" s="46"/>
      <c r="P69" s="46" t="str">
        <f aca="false">IF(OR(B69="",I69&lt;&gt;"Save for a later revision"),"",IF(COUNTIF('Deferred edits'!$K$2:$K$201,A69)&gt;0,"Yes","● Add to Deferred edits"))</f>
        <v/>
      </c>
    </row>
    <row r="70" customFormat="false" ht="15" hidden="false" customHeight="false" outlineLevel="0" collapsed="false">
      <c r="A70" s="46" t="s">
        <v>365</v>
      </c>
      <c r="B70" s="46"/>
      <c r="C70" s="46"/>
      <c r="D70" s="46"/>
      <c r="E70" s="46"/>
      <c r="F70" s="46"/>
      <c r="G70" s="46"/>
      <c r="H70" s="46"/>
      <c r="I70" s="46"/>
      <c r="J70" s="46"/>
      <c r="K70" s="46"/>
      <c r="L70" s="46"/>
      <c r="M70" s="46" t="str">
        <f aca="false">IF(OR(B70="",I70=""),"",IFERROR(INDEX('Comment flow'!$C$40:$C$46,MATCH(I70,'Comment flow'!$A$40:$A$46,0)),""))</f>
        <v/>
      </c>
      <c r="N70" s="46" t="str">
        <f aca="false">IF(B70="","",IF(OR(I70="",I70="Open: needs a decision",L70=""),"Open","Closed"))</f>
        <v/>
      </c>
      <c r="O70" s="46"/>
      <c r="P70" s="46" t="str">
        <f aca="false">IF(OR(B70="",I70&lt;&gt;"Save for a later revision"),"",IF(COUNTIF('Deferred edits'!$K$2:$K$201,A70)&gt;0,"Yes","● Add to Deferred edits"))</f>
        <v/>
      </c>
    </row>
    <row r="71" customFormat="false" ht="15" hidden="false" customHeight="false" outlineLevel="0" collapsed="false">
      <c r="A71" s="46" t="s">
        <v>366</v>
      </c>
      <c r="B71" s="46"/>
      <c r="C71" s="46"/>
      <c r="D71" s="46"/>
      <c r="E71" s="46"/>
      <c r="F71" s="46"/>
      <c r="G71" s="46"/>
      <c r="H71" s="46"/>
      <c r="I71" s="46"/>
      <c r="J71" s="46"/>
      <c r="K71" s="46"/>
      <c r="L71" s="46"/>
      <c r="M71" s="46" t="str">
        <f aca="false">IF(OR(B71="",I71=""),"",IFERROR(INDEX('Comment flow'!$C$40:$C$46,MATCH(I71,'Comment flow'!$A$40:$A$46,0)),""))</f>
        <v/>
      </c>
      <c r="N71" s="46" t="str">
        <f aca="false">IF(B71="","",IF(OR(I71="",I71="Open: needs a decision",L71=""),"Open","Closed"))</f>
        <v/>
      </c>
      <c r="O71" s="46"/>
      <c r="P71" s="46" t="str">
        <f aca="false">IF(OR(B71="",I71&lt;&gt;"Save for a later revision"),"",IF(COUNTIF('Deferred edits'!$K$2:$K$201,A71)&gt;0,"Yes","● Add to Deferred edits"))</f>
        <v/>
      </c>
    </row>
    <row r="72" customFormat="false" ht="15" hidden="false" customHeight="false" outlineLevel="0" collapsed="false">
      <c r="A72" s="46" t="s">
        <v>367</v>
      </c>
      <c r="B72" s="46"/>
      <c r="C72" s="46"/>
      <c r="D72" s="46"/>
      <c r="E72" s="46"/>
      <c r="F72" s="46"/>
      <c r="G72" s="46"/>
      <c r="H72" s="46"/>
      <c r="I72" s="46"/>
      <c r="J72" s="46"/>
      <c r="K72" s="46"/>
      <c r="L72" s="46"/>
      <c r="M72" s="46" t="str">
        <f aca="false">IF(OR(B72="",I72=""),"",IFERROR(INDEX('Comment flow'!$C$40:$C$46,MATCH(I72,'Comment flow'!$A$40:$A$46,0)),""))</f>
        <v/>
      </c>
      <c r="N72" s="46" t="str">
        <f aca="false">IF(B72="","",IF(OR(I72="",I72="Open: needs a decision",L72=""),"Open","Closed"))</f>
        <v/>
      </c>
      <c r="O72" s="46"/>
      <c r="P72" s="46" t="str">
        <f aca="false">IF(OR(B72="",I72&lt;&gt;"Save for a later revision"),"",IF(COUNTIF('Deferred edits'!$K$2:$K$201,A72)&gt;0,"Yes","● Add to Deferred edits"))</f>
        <v/>
      </c>
    </row>
    <row r="73" customFormat="false" ht="15" hidden="false" customHeight="false" outlineLevel="0" collapsed="false">
      <c r="A73" s="46" t="s">
        <v>368</v>
      </c>
      <c r="B73" s="46"/>
      <c r="C73" s="46"/>
      <c r="D73" s="46"/>
      <c r="E73" s="46"/>
      <c r="F73" s="46"/>
      <c r="G73" s="46"/>
      <c r="H73" s="46"/>
      <c r="I73" s="46"/>
      <c r="J73" s="46"/>
      <c r="K73" s="46"/>
      <c r="L73" s="46"/>
      <c r="M73" s="46" t="str">
        <f aca="false">IF(OR(B73="",I73=""),"",IFERROR(INDEX('Comment flow'!$C$40:$C$46,MATCH(I73,'Comment flow'!$A$40:$A$46,0)),""))</f>
        <v/>
      </c>
      <c r="N73" s="46" t="str">
        <f aca="false">IF(B73="","",IF(OR(I73="",I73="Open: needs a decision",L73=""),"Open","Closed"))</f>
        <v/>
      </c>
      <c r="O73" s="46"/>
      <c r="P73" s="46" t="str">
        <f aca="false">IF(OR(B73="",I73&lt;&gt;"Save for a later revision"),"",IF(COUNTIF('Deferred edits'!$K$2:$K$201,A73)&gt;0,"Yes","● Add to Deferred edits"))</f>
        <v/>
      </c>
    </row>
    <row r="74" customFormat="false" ht="15" hidden="false" customHeight="false" outlineLevel="0" collapsed="false">
      <c r="A74" s="46" t="s">
        <v>369</v>
      </c>
      <c r="B74" s="46"/>
      <c r="C74" s="46"/>
      <c r="D74" s="46"/>
      <c r="E74" s="46"/>
      <c r="F74" s="46"/>
      <c r="G74" s="46"/>
      <c r="H74" s="46"/>
      <c r="I74" s="46"/>
      <c r="J74" s="46"/>
      <c r="K74" s="46"/>
      <c r="L74" s="46"/>
      <c r="M74" s="46" t="str">
        <f aca="false">IF(OR(B74="",I74=""),"",IFERROR(INDEX('Comment flow'!$C$40:$C$46,MATCH(I74,'Comment flow'!$A$40:$A$46,0)),""))</f>
        <v/>
      </c>
      <c r="N74" s="46" t="str">
        <f aca="false">IF(B74="","",IF(OR(I74="",I74="Open: needs a decision",L74=""),"Open","Closed"))</f>
        <v/>
      </c>
      <c r="O74" s="46"/>
      <c r="P74" s="46" t="str">
        <f aca="false">IF(OR(B74="",I74&lt;&gt;"Save for a later revision"),"",IF(COUNTIF('Deferred edits'!$K$2:$K$201,A74)&gt;0,"Yes","● Add to Deferred edits"))</f>
        <v/>
      </c>
    </row>
    <row r="75" customFormat="false" ht="15" hidden="false" customHeight="false" outlineLevel="0" collapsed="false">
      <c r="A75" s="46" t="s">
        <v>370</v>
      </c>
      <c r="B75" s="46"/>
      <c r="C75" s="46"/>
      <c r="D75" s="46"/>
      <c r="E75" s="46"/>
      <c r="F75" s="46"/>
      <c r="G75" s="46"/>
      <c r="H75" s="46"/>
      <c r="I75" s="46"/>
      <c r="J75" s="46"/>
      <c r="K75" s="46"/>
      <c r="L75" s="46"/>
      <c r="M75" s="46" t="str">
        <f aca="false">IF(OR(B75="",I75=""),"",IFERROR(INDEX('Comment flow'!$C$40:$C$46,MATCH(I75,'Comment flow'!$A$40:$A$46,0)),""))</f>
        <v/>
      </c>
      <c r="N75" s="46" t="str">
        <f aca="false">IF(B75="","",IF(OR(I75="",I75="Open: needs a decision",L75=""),"Open","Closed"))</f>
        <v/>
      </c>
      <c r="O75" s="46"/>
      <c r="P75" s="46" t="str">
        <f aca="false">IF(OR(B75="",I75&lt;&gt;"Save for a later revision"),"",IF(COUNTIF('Deferred edits'!$K$2:$K$201,A75)&gt;0,"Yes","● Add to Deferred edits"))</f>
        <v/>
      </c>
    </row>
    <row r="76" customFormat="false" ht="15" hidden="false" customHeight="false" outlineLevel="0" collapsed="false">
      <c r="A76" s="46" t="s">
        <v>371</v>
      </c>
      <c r="B76" s="46"/>
      <c r="C76" s="46"/>
      <c r="D76" s="46"/>
      <c r="E76" s="46"/>
      <c r="F76" s="46"/>
      <c r="G76" s="46"/>
      <c r="H76" s="46"/>
      <c r="I76" s="46"/>
      <c r="J76" s="46"/>
      <c r="K76" s="46"/>
      <c r="L76" s="46"/>
      <c r="M76" s="46" t="str">
        <f aca="false">IF(OR(B76="",I76=""),"",IFERROR(INDEX('Comment flow'!$C$40:$C$46,MATCH(I76,'Comment flow'!$A$40:$A$46,0)),""))</f>
        <v/>
      </c>
      <c r="N76" s="46" t="str">
        <f aca="false">IF(B76="","",IF(OR(I76="",I76="Open: needs a decision",L76=""),"Open","Closed"))</f>
        <v/>
      </c>
      <c r="O76" s="46"/>
      <c r="P76" s="46" t="str">
        <f aca="false">IF(OR(B76="",I76&lt;&gt;"Save for a later revision"),"",IF(COUNTIF('Deferred edits'!$K$2:$K$201,A76)&gt;0,"Yes","● Add to Deferred edits"))</f>
        <v/>
      </c>
    </row>
    <row r="77" customFormat="false" ht="15" hidden="false" customHeight="false" outlineLevel="0" collapsed="false">
      <c r="A77" s="46" t="s">
        <v>372</v>
      </c>
      <c r="B77" s="46"/>
      <c r="C77" s="46"/>
      <c r="D77" s="46"/>
      <c r="E77" s="46"/>
      <c r="F77" s="46"/>
      <c r="G77" s="46"/>
      <c r="H77" s="46"/>
      <c r="I77" s="46"/>
      <c r="J77" s="46"/>
      <c r="K77" s="46"/>
      <c r="L77" s="46"/>
      <c r="M77" s="46" t="str">
        <f aca="false">IF(OR(B77="",I77=""),"",IFERROR(INDEX('Comment flow'!$C$40:$C$46,MATCH(I77,'Comment flow'!$A$40:$A$46,0)),""))</f>
        <v/>
      </c>
      <c r="N77" s="46" t="str">
        <f aca="false">IF(B77="","",IF(OR(I77="",I77="Open: needs a decision",L77=""),"Open","Closed"))</f>
        <v/>
      </c>
      <c r="O77" s="46"/>
      <c r="P77" s="46" t="str">
        <f aca="false">IF(OR(B77="",I77&lt;&gt;"Save for a later revision"),"",IF(COUNTIF('Deferred edits'!$K$2:$K$201,A77)&gt;0,"Yes","● Add to Deferred edits"))</f>
        <v/>
      </c>
    </row>
    <row r="78" customFormat="false" ht="15" hidden="false" customHeight="false" outlineLevel="0" collapsed="false">
      <c r="A78" s="46" t="s">
        <v>373</v>
      </c>
      <c r="B78" s="46"/>
      <c r="C78" s="46"/>
      <c r="D78" s="46"/>
      <c r="E78" s="46"/>
      <c r="F78" s="46"/>
      <c r="G78" s="46"/>
      <c r="H78" s="46"/>
      <c r="I78" s="46"/>
      <c r="J78" s="46"/>
      <c r="K78" s="46"/>
      <c r="L78" s="46"/>
      <c r="M78" s="46" t="str">
        <f aca="false">IF(OR(B78="",I78=""),"",IFERROR(INDEX('Comment flow'!$C$40:$C$46,MATCH(I78,'Comment flow'!$A$40:$A$46,0)),""))</f>
        <v/>
      </c>
      <c r="N78" s="46" t="str">
        <f aca="false">IF(B78="","",IF(OR(I78="",I78="Open: needs a decision",L78=""),"Open","Closed"))</f>
        <v/>
      </c>
      <c r="O78" s="46"/>
      <c r="P78" s="46" t="str">
        <f aca="false">IF(OR(B78="",I78&lt;&gt;"Save for a later revision"),"",IF(COUNTIF('Deferred edits'!$K$2:$K$201,A78)&gt;0,"Yes","● Add to Deferred edits"))</f>
        <v/>
      </c>
    </row>
    <row r="79" customFormat="false" ht="15" hidden="false" customHeight="false" outlineLevel="0" collapsed="false">
      <c r="A79" s="46" t="s">
        <v>374</v>
      </c>
      <c r="B79" s="46"/>
      <c r="C79" s="46"/>
      <c r="D79" s="46"/>
      <c r="E79" s="46"/>
      <c r="F79" s="46"/>
      <c r="G79" s="46"/>
      <c r="H79" s="46"/>
      <c r="I79" s="46"/>
      <c r="J79" s="46"/>
      <c r="K79" s="46"/>
      <c r="L79" s="46"/>
      <c r="M79" s="46" t="str">
        <f aca="false">IF(OR(B79="",I79=""),"",IFERROR(INDEX('Comment flow'!$C$40:$C$46,MATCH(I79,'Comment flow'!$A$40:$A$46,0)),""))</f>
        <v/>
      </c>
      <c r="N79" s="46" t="str">
        <f aca="false">IF(B79="","",IF(OR(I79="",I79="Open: needs a decision",L79=""),"Open","Closed"))</f>
        <v/>
      </c>
      <c r="O79" s="46"/>
      <c r="P79" s="46" t="str">
        <f aca="false">IF(OR(B79="",I79&lt;&gt;"Save for a later revision"),"",IF(COUNTIF('Deferred edits'!$K$2:$K$201,A79)&gt;0,"Yes","● Add to Deferred edits"))</f>
        <v/>
      </c>
    </row>
    <row r="80" customFormat="false" ht="15" hidden="false" customHeight="false" outlineLevel="0" collapsed="false">
      <c r="A80" s="46" t="s">
        <v>375</v>
      </c>
      <c r="B80" s="46"/>
      <c r="C80" s="46"/>
      <c r="D80" s="46"/>
      <c r="E80" s="46"/>
      <c r="F80" s="46"/>
      <c r="G80" s="46"/>
      <c r="H80" s="46"/>
      <c r="I80" s="46"/>
      <c r="J80" s="46"/>
      <c r="K80" s="46"/>
      <c r="L80" s="46"/>
      <c r="M80" s="46" t="str">
        <f aca="false">IF(OR(B80="",I80=""),"",IFERROR(INDEX('Comment flow'!$C$40:$C$46,MATCH(I80,'Comment flow'!$A$40:$A$46,0)),""))</f>
        <v/>
      </c>
      <c r="N80" s="46" t="str">
        <f aca="false">IF(B80="","",IF(OR(I80="",I80="Open: needs a decision",L80=""),"Open","Closed"))</f>
        <v/>
      </c>
      <c r="O80" s="46"/>
      <c r="P80" s="46" t="str">
        <f aca="false">IF(OR(B80="",I80&lt;&gt;"Save for a later revision"),"",IF(COUNTIF('Deferred edits'!$K$2:$K$201,A80)&gt;0,"Yes","● Add to Deferred edits"))</f>
        <v/>
      </c>
    </row>
    <row r="81" customFormat="false" ht="15" hidden="false" customHeight="false" outlineLevel="0" collapsed="false">
      <c r="A81" s="46" t="s">
        <v>376</v>
      </c>
      <c r="B81" s="46"/>
      <c r="C81" s="46"/>
      <c r="D81" s="46"/>
      <c r="E81" s="46"/>
      <c r="F81" s="46"/>
      <c r="G81" s="46"/>
      <c r="H81" s="46"/>
      <c r="I81" s="46"/>
      <c r="J81" s="46"/>
      <c r="K81" s="46"/>
      <c r="L81" s="46"/>
      <c r="M81" s="46" t="str">
        <f aca="false">IF(OR(B81="",I81=""),"",IFERROR(INDEX('Comment flow'!$C$40:$C$46,MATCH(I81,'Comment flow'!$A$40:$A$46,0)),""))</f>
        <v/>
      </c>
      <c r="N81" s="46" t="str">
        <f aca="false">IF(B81="","",IF(OR(I81="",I81="Open: needs a decision",L81=""),"Open","Closed"))</f>
        <v/>
      </c>
      <c r="O81" s="46"/>
      <c r="P81" s="46" t="str">
        <f aca="false">IF(OR(B81="",I81&lt;&gt;"Save for a later revision"),"",IF(COUNTIF('Deferred edits'!$K$2:$K$201,A81)&gt;0,"Yes","● Add to Deferred edits"))</f>
        <v/>
      </c>
    </row>
    <row r="82" customFormat="false" ht="15" hidden="false" customHeight="false" outlineLevel="0" collapsed="false">
      <c r="A82" s="46" t="s">
        <v>377</v>
      </c>
      <c r="B82" s="46"/>
      <c r="C82" s="46"/>
      <c r="D82" s="46"/>
      <c r="E82" s="46"/>
      <c r="F82" s="46"/>
      <c r="G82" s="46"/>
      <c r="H82" s="46"/>
      <c r="I82" s="46"/>
      <c r="J82" s="46"/>
      <c r="K82" s="46"/>
      <c r="L82" s="46"/>
      <c r="M82" s="46" t="str">
        <f aca="false">IF(OR(B82="",I82=""),"",IFERROR(INDEX('Comment flow'!$C$40:$C$46,MATCH(I82,'Comment flow'!$A$40:$A$46,0)),""))</f>
        <v/>
      </c>
      <c r="N82" s="46" t="str">
        <f aca="false">IF(B82="","",IF(OR(I82="",I82="Open: needs a decision",L82=""),"Open","Closed"))</f>
        <v/>
      </c>
      <c r="O82" s="46"/>
      <c r="P82" s="46" t="str">
        <f aca="false">IF(OR(B82="",I82&lt;&gt;"Save for a later revision"),"",IF(COUNTIF('Deferred edits'!$K$2:$K$201,A82)&gt;0,"Yes","● Add to Deferred edits"))</f>
        <v/>
      </c>
    </row>
    <row r="83" customFormat="false" ht="15" hidden="false" customHeight="false" outlineLevel="0" collapsed="false">
      <c r="A83" s="46" t="s">
        <v>378</v>
      </c>
      <c r="B83" s="46"/>
      <c r="C83" s="46"/>
      <c r="D83" s="46"/>
      <c r="E83" s="46"/>
      <c r="F83" s="46"/>
      <c r="G83" s="46"/>
      <c r="H83" s="46"/>
      <c r="I83" s="46"/>
      <c r="J83" s="46"/>
      <c r="K83" s="46"/>
      <c r="L83" s="46"/>
      <c r="M83" s="46" t="str">
        <f aca="false">IF(OR(B83="",I83=""),"",IFERROR(INDEX('Comment flow'!$C$40:$C$46,MATCH(I83,'Comment flow'!$A$40:$A$46,0)),""))</f>
        <v/>
      </c>
      <c r="N83" s="46" t="str">
        <f aca="false">IF(B83="","",IF(OR(I83="",I83="Open: needs a decision",L83=""),"Open","Closed"))</f>
        <v/>
      </c>
      <c r="O83" s="46"/>
      <c r="P83" s="46" t="str">
        <f aca="false">IF(OR(B83="",I83&lt;&gt;"Save for a later revision"),"",IF(COUNTIF('Deferred edits'!$K$2:$K$201,A83)&gt;0,"Yes","● Add to Deferred edits"))</f>
        <v/>
      </c>
    </row>
    <row r="84" customFormat="false" ht="15" hidden="false" customHeight="false" outlineLevel="0" collapsed="false">
      <c r="A84" s="46" t="s">
        <v>379</v>
      </c>
      <c r="B84" s="46"/>
      <c r="C84" s="46"/>
      <c r="D84" s="46"/>
      <c r="E84" s="46"/>
      <c r="F84" s="46"/>
      <c r="G84" s="46"/>
      <c r="H84" s="46"/>
      <c r="I84" s="46"/>
      <c r="J84" s="46"/>
      <c r="K84" s="46"/>
      <c r="L84" s="46"/>
      <c r="M84" s="46" t="str">
        <f aca="false">IF(OR(B84="",I84=""),"",IFERROR(INDEX('Comment flow'!$C$40:$C$46,MATCH(I84,'Comment flow'!$A$40:$A$46,0)),""))</f>
        <v/>
      </c>
      <c r="N84" s="46" t="str">
        <f aca="false">IF(B84="","",IF(OR(I84="",I84="Open: needs a decision",L84=""),"Open","Closed"))</f>
        <v/>
      </c>
      <c r="O84" s="46"/>
      <c r="P84" s="46" t="str">
        <f aca="false">IF(OR(B84="",I84&lt;&gt;"Save for a later revision"),"",IF(COUNTIF('Deferred edits'!$K$2:$K$201,A84)&gt;0,"Yes","● Add to Deferred edits"))</f>
        <v/>
      </c>
    </row>
    <row r="85" customFormat="false" ht="15" hidden="false" customHeight="false" outlineLevel="0" collapsed="false">
      <c r="A85" s="46" t="s">
        <v>380</v>
      </c>
      <c r="B85" s="46"/>
      <c r="C85" s="46"/>
      <c r="D85" s="46"/>
      <c r="E85" s="46"/>
      <c r="F85" s="46"/>
      <c r="G85" s="46"/>
      <c r="H85" s="46"/>
      <c r="I85" s="46"/>
      <c r="J85" s="46"/>
      <c r="K85" s="46"/>
      <c r="L85" s="46"/>
      <c r="M85" s="46" t="str">
        <f aca="false">IF(OR(B85="",I85=""),"",IFERROR(INDEX('Comment flow'!$C$40:$C$46,MATCH(I85,'Comment flow'!$A$40:$A$46,0)),""))</f>
        <v/>
      </c>
      <c r="N85" s="46" t="str">
        <f aca="false">IF(B85="","",IF(OR(I85="",I85="Open: needs a decision",L85=""),"Open","Closed"))</f>
        <v/>
      </c>
      <c r="O85" s="46"/>
      <c r="P85" s="46" t="str">
        <f aca="false">IF(OR(B85="",I85&lt;&gt;"Save for a later revision"),"",IF(COUNTIF('Deferred edits'!$K$2:$K$201,A85)&gt;0,"Yes","● Add to Deferred edits"))</f>
        <v/>
      </c>
    </row>
    <row r="86" customFormat="false" ht="15" hidden="false" customHeight="false" outlineLevel="0" collapsed="false">
      <c r="A86" s="46" t="s">
        <v>381</v>
      </c>
      <c r="B86" s="46"/>
      <c r="C86" s="46"/>
      <c r="D86" s="46"/>
      <c r="E86" s="46"/>
      <c r="F86" s="46"/>
      <c r="G86" s="46"/>
      <c r="H86" s="46"/>
      <c r="I86" s="46"/>
      <c r="J86" s="46"/>
      <c r="K86" s="46"/>
      <c r="L86" s="46"/>
      <c r="M86" s="46" t="str">
        <f aca="false">IF(OR(B86="",I86=""),"",IFERROR(INDEX('Comment flow'!$C$40:$C$46,MATCH(I86,'Comment flow'!$A$40:$A$46,0)),""))</f>
        <v/>
      </c>
      <c r="N86" s="46" t="str">
        <f aca="false">IF(B86="","",IF(OR(I86="",I86="Open: needs a decision",L86=""),"Open","Closed"))</f>
        <v/>
      </c>
      <c r="O86" s="46"/>
      <c r="P86" s="46" t="str">
        <f aca="false">IF(OR(B86="",I86&lt;&gt;"Save for a later revision"),"",IF(COUNTIF('Deferred edits'!$K$2:$K$201,A86)&gt;0,"Yes","● Add to Deferred edits"))</f>
        <v/>
      </c>
    </row>
    <row r="87" customFormat="false" ht="15" hidden="false" customHeight="false" outlineLevel="0" collapsed="false">
      <c r="A87" s="46" t="s">
        <v>382</v>
      </c>
      <c r="B87" s="46"/>
      <c r="C87" s="46"/>
      <c r="D87" s="46"/>
      <c r="E87" s="46"/>
      <c r="F87" s="46"/>
      <c r="G87" s="46"/>
      <c r="H87" s="46"/>
      <c r="I87" s="46"/>
      <c r="J87" s="46"/>
      <c r="K87" s="46"/>
      <c r="L87" s="46"/>
      <c r="M87" s="46" t="str">
        <f aca="false">IF(OR(B87="",I87=""),"",IFERROR(INDEX('Comment flow'!$C$40:$C$46,MATCH(I87,'Comment flow'!$A$40:$A$46,0)),""))</f>
        <v/>
      </c>
      <c r="N87" s="46" t="str">
        <f aca="false">IF(B87="","",IF(OR(I87="",I87="Open: needs a decision",L87=""),"Open","Closed"))</f>
        <v/>
      </c>
      <c r="O87" s="46"/>
      <c r="P87" s="46" t="str">
        <f aca="false">IF(OR(B87="",I87&lt;&gt;"Save for a later revision"),"",IF(COUNTIF('Deferred edits'!$K$2:$K$201,A87)&gt;0,"Yes","● Add to Deferred edits"))</f>
        <v/>
      </c>
    </row>
    <row r="88" customFormat="false" ht="15" hidden="false" customHeight="false" outlineLevel="0" collapsed="false">
      <c r="A88" s="46" t="s">
        <v>383</v>
      </c>
      <c r="B88" s="46"/>
      <c r="C88" s="46"/>
      <c r="D88" s="46"/>
      <c r="E88" s="46"/>
      <c r="F88" s="46"/>
      <c r="G88" s="46"/>
      <c r="H88" s="46"/>
      <c r="I88" s="46"/>
      <c r="J88" s="46"/>
      <c r="K88" s="46"/>
      <c r="L88" s="46"/>
      <c r="M88" s="46" t="str">
        <f aca="false">IF(OR(B88="",I88=""),"",IFERROR(INDEX('Comment flow'!$C$40:$C$46,MATCH(I88,'Comment flow'!$A$40:$A$46,0)),""))</f>
        <v/>
      </c>
      <c r="N88" s="46" t="str">
        <f aca="false">IF(B88="","",IF(OR(I88="",I88="Open: needs a decision",L88=""),"Open","Closed"))</f>
        <v/>
      </c>
      <c r="O88" s="46"/>
      <c r="P88" s="46" t="str">
        <f aca="false">IF(OR(B88="",I88&lt;&gt;"Save for a later revision"),"",IF(COUNTIF('Deferred edits'!$K$2:$K$201,A88)&gt;0,"Yes","● Add to Deferred edits"))</f>
        <v/>
      </c>
    </row>
    <row r="89" customFormat="false" ht="15" hidden="false" customHeight="false" outlineLevel="0" collapsed="false">
      <c r="A89" s="46" t="s">
        <v>384</v>
      </c>
      <c r="B89" s="46"/>
      <c r="C89" s="46"/>
      <c r="D89" s="46"/>
      <c r="E89" s="46"/>
      <c r="F89" s="46"/>
      <c r="G89" s="46"/>
      <c r="H89" s="46"/>
      <c r="I89" s="46"/>
      <c r="J89" s="46"/>
      <c r="K89" s="46"/>
      <c r="L89" s="46"/>
      <c r="M89" s="46" t="str">
        <f aca="false">IF(OR(B89="",I89=""),"",IFERROR(INDEX('Comment flow'!$C$40:$C$46,MATCH(I89,'Comment flow'!$A$40:$A$46,0)),""))</f>
        <v/>
      </c>
      <c r="N89" s="46" t="str">
        <f aca="false">IF(B89="","",IF(OR(I89="",I89="Open: needs a decision",L89=""),"Open","Closed"))</f>
        <v/>
      </c>
      <c r="O89" s="46"/>
      <c r="P89" s="46" t="str">
        <f aca="false">IF(OR(B89="",I89&lt;&gt;"Save for a later revision"),"",IF(COUNTIF('Deferred edits'!$K$2:$K$201,A89)&gt;0,"Yes","● Add to Deferred edits"))</f>
        <v/>
      </c>
    </row>
    <row r="90" customFormat="false" ht="15" hidden="false" customHeight="false" outlineLevel="0" collapsed="false">
      <c r="A90" s="46" t="s">
        <v>385</v>
      </c>
      <c r="B90" s="46"/>
      <c r="C90" s="46"/>
      <c r="D90" s="46"/>
      <c r="E90" s="46"/>
      <c r="F90" s="46"/>
      <c r="G90" s="46"/>
      <c r="H90" s="46"/>
      <c r="I90" s="46"/>
      <c r="J90" s="46"/>
      <c r="K90" s="46"/>
      <c r="L90" s="46"/>
      <c r="M90" s="46" t="str">
        <f aca="false">IF(OR(B90="",I90=""),"",IFERROR(INDEX('Comment flow'!$C$40:$C$46,MATCH(I90,'Comment flow'!$A$40:$A$46,0)),""))</f>
        <v/>
      </c>
      <c r="N90" s="46" t="str">
        <f aca="false">IF(B90="","",IF(OR(I90="",I90="Open: needs a decision",L90=""),"Open","Closed"))</f>
        <v/>
      </c>
      <c r="O90" s="46"/>
      <c r="P90" s="46" t="str">
        <f aca="false">IF(OR(B90="",I90&lt;&gt;"Save for a later revision"),"",IF(COUNTIF('Deferred edits'!$K$2:$K$201,A90)&gt;0,"Yes","● Add to Deferred edits"))</f>
        <v/>
      </c>
    </row>
    <row r="91" customFormat="false" ht="15" hidden="false" customHeight="false" outlineLevel="0" collapsed="false">
      <c r="A91" s="46" t="s">
        <v>386</v>
      </c>
      <c r="B91" s="46"/>
      <c r="C91" s="46"/>
      <c r="D91" s="46"/>
      <c r="E91" s="46"/>
      <c r="F91" s="46"/>
      <c r="G91" s="46"/>
      <c r="H91" s="46"/>
      <c r="I91" s="46"/>
      <c r="J91" s="46"/>
      <c r="K91" s="46"/>
      <c r="L91" s="46"/>
      <c r="M91" s="46" t="str">
        <f aca="false">IF(OR(B91="",I91=""),"",IFERROR(INDEX('Comment flow'!$C$40:$C$46,MATCH(I91,'Comment flow'!$A$40:$A$46,0)),""))</f>
        <v/>
      </c>
      <c r="N91" s="46" t="str">
        <f aca="false">IF(B91="","",IF(OR(I91="",I91="Open: needs a decision",L91=""),"Open","Closed"))</f>
        <v/>
      </c>
      <c r="O91" s="46"/>
      <c r="P91" s="46" t="str">
        <f aca="false">IF(OR(B91="",I91&lt;&gt;"Save for a later revision"),"",IF(COUNTIF('Deferred edits'!$K$2:$K$201,A91)&gt;0,"Yes","● Add to Deferred edits"))</f>
        <v/>
      </c>
    </row>
    <row r="92" customFormat="false" ht="15" hidden="false" customHeight="false" outlineLevel="0" collapsed="false">
      <c r="A92" s="46" t="s">
        <v>387</v>
      </c>
      <c r="B92" s="46"/>
      <c r="C92" s="46"/>
      <c r="D92" s="46"/>
      <c r="E92" s="46"/>
      <c r="F92" s="46"/>
      <c r="G92" s="46"/>
      <c r="H92" s="46"/>
      <c r="I92" s="46"/>
      <c r="J92" s="46"/>
      <c r="K92" s="46"/>
      <c r="L92" s="46"/>
      <c r="M92" s="46" t="str">
        <f aca="false">IF(OR(B92="",I92=""),"",IFERROR(INDEX('Comment flow'!$C$40:$C$46,MATCH(I92,'Comment flow'!$A$40:$A$46,0)),""))</f>
        <v/>
      </c>
      <c r="N92" s="46" t="str">
        <f aca="false">IF(B92="","",IF(OR(I92="",I92="Open: needs a decision",L92=""),"Open","Closed"))</f>
        <v/>
      </c>
      <c r="O92" s="46"/>
      <c r="P92" s="46" t="str">
        <f aca="false">IF(OR(B92="",I92&lt;&gt;"Save for a later revision"),"",IF(COUNTIF('Deferred edits'!$K$2:$K$201,A92)&gt;0,"Yes","● Add to Deferred edits"))</f>
        <v/>
      </c>
    </row>
    <row r="93" customFormat="false" ht="15" hidden="false" customHeight="false" outlineLevel="0" collapsed="false">
      <c r="A93" s="46" t="s">
        <v>388</v>
      </c>
      <c r="B93" s="46"/>
      <c r="C93" s="46"/>
      <c r="D93" s="46"/>
      <c r="E93" s="46"/>
      <c r="F93" s="46"/>
      <c r="G93" s="46"/>
      <c r="H93" s="46"/>
      <c r="I93" s="46"/>
      <c r="J93" s="46"/>
      <c r="K93" s="46"/>
      <c r="L93" s="46"/>
      <c r="M93" s="46" t="str">
        <f aca="false">IF(OR(B93="",I93=""),"",IFERROR(INDEX('Comment flow'!$C$40:$C$46,MATCH(I93,'Comment flow'!$A$40:$A$46,0)),""))</f>
        <v/>
      </c>
      <c r="N93" s="46" t="str">
        <f aca="false">IF(B93="","",IF(OR(I93="",I93="Open: needs a decision",L93=""),"Open","Closed"))</f>
        <v/>
      </c>
      <c r="O93" s="46"/>
      <c r="P93" s="46" t="str">
        <f aca="false">IF(OR(B93="",I93&lt;&gt;"Save for a later revision"),"",IF(COUNTIF('Deferred edits'!$K$2:$K$201,A93)&gt;0,"Yes","● Add to Deferred edits"))</f>
        <v/>
      </c>
    </row>
    <row r="94" customFormat="false" ht="15" hidden="false" customHeight="false" outlineLevel="0" collapsed="false">
      <c r="A94" s="46" t="s">
        <v>389</v>
      </c>
      <c r="B94" s="46"/>
      <c r="C94" s="46"/>
      <c r="D94" s="46"/>
      <c r="E94" s="46"/>
      <c r="F94" s="46"/>
      <c r="G94" s="46"/>
      <c r="H94" s="46"/>
      <c r="I94" s="46"/>
      <c r="J94" s="46"/>
      <c r="K94" s="46"/>
      <c r="L94" s="46"/>
      <c r="M94" s="46" t="str">
        <f aca="false">IF(OR(B94="",I94=""),"",IFERROR(INDEX('Comment flow'!$C$40:$C$46,MATCH(I94,'Comment flow'!$A$40:$A$46,0)),""))</f>
        <v/>
      </c>
      <c r="N94" s="46" t="str">
        <f aca="false">IF(B94="","",IF(OR(I94="",I94="Open: needs a decision",L94=""),"Open","Closed"))</f>
        <v/>
      </c>
      <c r="O94" s="46"/>
      <c r="P94" s="46" t="str">
        <f aca="false">IF(OR(B94="",I94&lt;&gt;"Save for a later revision"),"",IF(COUNTIF('Deferred edits'!$K$2:$K$201,A94)&gt;0,"Yes","● Add to Deferred edits"))</f>
        <v/>
      </c>
    </row>
    <row r="95" customFormat="false" ht="15" hidden="false" customHeight="false" outlineLevel="0" collapsed="false">
      <c r="A95" s="46" t="s">
        <v>390</v>
      </c>
      <c r="B95" s="46"/>
      <c r="C95" s="46"/>
      <c r="D95" s="46"/>
      <c r="E95" s="46"/>
      <c r="F95" s="46"/>
      <c r="G95" s="46"/>
      <c r="H95" s="46"/>
      <c r="I95" s="46"/>
      <c r="J95" s="46"/>
      <c r="K95" s="46"/>
      <c r="L95" s="46"/>
      <c r="M95" s="46" t="str">
        <f aca="false">IF(OR(B95="",I95=""),"",IFERROR(INDEX('Comment flow'!$C$40:$C$46,MATCH(I95,'Comment flow'!$A$40:$A$46,0)),""))</f>
        <v/>
      </c>
      <c r="N95" s="46" t="str">
        <f aca="false">IF(B95="","",IF(OR(I95="",I95="Open: needs a decision",L95=""),"Open","Closed"))</f>
        <v/>
      </c>
      <c r="O95" s="46"/>
      <c r="P95" s="46" t="str">
        <f aca="false">IF(OR(B95="",I95&lt;&gt;"Save for a later revision"),"",IF(COUNTIF('Deferred edits'!$K$2:$K$201,A95)&gt;0,"Yes","● Add to Deferred edits"))</f>
        <v/>
      </c>
    </row>
    <row r="96" customFormat="false" ht="15" hidden="false" customHeight="false" outlineLevel="0" collapsed="false">
      <c r="A96" s="46" t="s">
        <v>391</v>
      </c>
      <c r="B96" s="46"/>
      <c r="C96" s="46"/>
      <c r="D96" s="46"/>
      <c r="E96" s="46"/>
      <c r="F96" s="46"/>
      <c r="G96" s="46"/>
      <c r="H96" s="46"/>
      <c r="I96" s="46"/>
      <c r="J96" s="46"/>
      <c r="K96" s="46"/>
      <c r="L96" s="46"/>
      <c r="M96" s="46" t="str">
        <f aca="false">IF(OR(B96="",I96=""),"",IFERROR(INDEX('Comment flow'!$C$40:$C$46,MATCH(I96,'Comment flow'!$A$40:$A$46,0)),""))</f>
        <v/>
      </c>
      <c r="N96" s="46" t="str">
        <f aca="false">IF(B96="","",IF(OR(I96="",I96="Open: needs a decision",L96=""),"Open","Closed"))</f>
        <v/>
      </c>
      <c r="O96" s="46"/>
      <c r="P96" s="46" t="str">
        <f aca="false">IF(OR(B96="",I96&lt;&gt;"Save for a later revision"),"",IF(COUNTIF('Deferred edits'!$K$2:$K$201,A96)&gt;0,"Yes","● Add to Deferred edits"))</f>
        <v/>
      </c>
    </row>
    <row r="97" customFormat="false" ht="15" hidden="false" customHeight="false" outlineLevel="0" collapsed="false">
      <c r="A97" s="46" t="s">
        <v>392</v>
      </c>
      <c r="B97" s="46"/>
      <c r="C97" s="46"/>
      <c r="D97" s="46"/>
      <c r="E97" s="46"/>
      <c r="F97" s="46"/>
      <c r="G97" s="46"/>
      <c r="H97" s="46"/>
      <c r="I97" s="46"/>
      <c r="J97" s="46"/>
      <c r="K97" s="46"/>
      <c r="L97" s="46"/>
      <c r="M97" s="46" t="str">
        <f aca="false">IF(OR(B97="",I97=""),"",IFERROR(INDEX('Comment flow'!$C$40:$C$46,MATCH(I97,'Comment flow'!$A$40:$A$46,0)),""))</f>
        <v/>
      </c>
      <c r="N97" s="46" t="str">
        <f aca="false">IF(B97="","",IF(OR(I97="",I97="Open: needs a decision",L97=""),"Open","Closed"))</f>
        <v/>
      </c>
      <c r="O97" s="46"/>
      <c r="P97" s="46" t="str">
        <f aca="false">IF(OR(B97="",I97&lt;&gt;"Save for a later revision"),"",IF(COUNTIF('Deferred edits'!$K$2:$K$201,A97)&gt;0,"Yes","● Add to Deferred edits"))</f>
        <v/>
      </c>
    </row>
    <row r="98" customFormat="false" ht="15" hidden="false" customHeight="false" outlineLevel="0" collapsed="false">
      <c r="A98" s="46" t="s">
        <v>393</v>
      </c>
      <c r="B98" s="46"/>
      <c r="C98" s="46"/>
      <c r="D98" s="46"/>
      <c r="E98" s="46"/>
      <c r="F98" s="46"/>
      <c r="G98" s="46"/>
      <c r="H98" s="46"/>
      <c r="I98" s="46"/>
      <c r="J98" s="46"/>
      <c r="K98" s="46"/>
      <c r="L98" s="46"/>
      <c r="M98" s="46" t="str">
        <f aca="false">IF(OR(B98="",I98=""),"",IFERROR(INDEX('Comment flow'!$C$40:$C$46,MATCH(I98,'Comment flow'!$A$40:$A$46,0)),""))</f>
        <v/>
      </c>
      <c r="N98" s="46" t="str">
        <f aca="false">IF(B98="","",IF(OR(I98="",I98="Open: needs a decision",L98=""),"Open","Closed"))</f>
        <v/>
      </c>
      <c r="O98" s="46"/>
      <c r="P98" s="46" t="str">
        <f aca="false">IF(OR(B98="",I98&lt;&gt;"Save for a later revision"),"",IF(COUNTIF('Deferred edits'!$K$2:$K$201,A98)&gt;0,"Yes","● Add to Deferred edits"))</f>
        <v/>
      </c>
    </row>
    <row r="99" customFormat="false" ht="15" hidden="false" customHeight="false" outlineLevel="0" collapsed="false">
      <c r="A99" s="46" t="s">
        <v>394</v>
      </c>
      <c r="B99" s="46"/>
      <c r="C99" s="46"/>
      <c r="D99" s="46"/>
      <c r="E99" s="46"/>
      <c r="F99" s="46"/>
      <c r="G99" s="46"/>
      <c r="H99" s="46"/>
      <c r="I99" s="46"/>
      <c r="J99" s="46"/>
      <c r="K99" s="46"/>
      <c r="L99" s="46"/>
      <c r="M99" s="46" t="str">
        <f aca="false">IF(OR(B99="",I99=""),"",IFERROR(INDEX('Comment flow'!$C$40:$C$46,MATCH(I99,'Comment flow'!$A$40:$A$46,0)),""))</f>
        <v/>
      </c>
      <c r="N99" s="46" t="str">
        <f aca="false">IF(B99="","",IF(OR(I99="",I99="Open: needs a decision",L99=""),"Open","Closed"))</f>
        <v/>
      </c>
      <c r="O99" s="46"/>
      <c r="P99" s="46" t="str">
        <f aca="false">IF(OR(B99="",I99&lt;&gt;"Save for a later revision"),"",IF(COUNTIF('Deferred edits'!$K$2:$K$201,A99)&gt;0,"Yes","● Add to Deferred edits"))</f>
        <v/>
      </c>
    </row>
    <row r="100" customFormat="false" ht="15" hidden="false" customHeight="false" outlineLevel="0" collapsed="false">
      <c r="A100" s="46" t="s">
        <v>395</v>
      </c>
      <c r="B100" s="46"/>
      <c r="C100" s="46"/>
      <c r="D100" s="46"/>
      <c r="E100" s="46"/>
      <c r="F100" s="46"/>
      <c r="G100" s="46"/>
      <c r="H100" s="46"/>
      <c r="I100" s="46"/>
      <c r="J100" s="46"/>
      <c r="K100" s="46"/>
      <c r="L100" s="46"/>
      <c r="M100" s="46" t="str">
        <f aca="false">IF(OR(B100="",I100=""),"",IFERROR(INDEX('Comment flow'!$C$40:$C$46,MATCH(I100,'Comment flow'!$A$40:$A$46,0)),""))</f>
        <v/>
      </c>
      <c r="N100" s="46" t="str">
        <f aca="false">IF(B100="","",IF(OR(I100="",I100="Open: needs a decision",L100=""),"Open","Closed"))</f>
        <v/>
      </c>
      <c r="O100" s="46"/>
      <c r="P100" s="46" t="str">
        <f aca="false">IF(OR(B100="",I100&lt;&gt;"Save for a later revision"),"",IF(COUNTIF('Deferred edits'!$K$2:$K$201,A100)&gt;0,"Yes","● Add to Deferred edits"))</f>
        <v/>
      </c>
    </row>
    <row r="101" customFormat="false" ht="15" hidden="false" customHeight="false" outlineLevel="0" collapsed="false">
      <c r="A101" s="46" t="s">
        <v>396</v>
      </c>
      <c r="B101" s="46"/>
      <c r="C101" s="46"/>
      <c r="D101" s="46"/>
      <c r="E101" s="46"/>
      <c r="F101" s="46"/>
      <c r="G101" s="46"/>
      <c r="H101" s="46"/>
      <c r="I101" s="46"/>
      <c r="J101" s="46"/>
      <c r="K101" s="46"/>
      <c r="L101" s="46"/>
      <c r="M101" s="46" t="str">
        <f aca="false">IF(OR(B101="",I101=""),"",IFERROR(INDEX('Comment flow'!$C$40:$C$46,MATCH(I101,'Comment flow'!$A$40:$A$46,0)),""))</f>
        <v/>
      </c>
      <c r="N101" s="46" t="str">
        <f aca="false">IF(B101="","",IF(OR(I101="",I101="Open: needs a decision",L101=""),"Open","Closed"))</f>
        <v/>
      </c>
      <c r="O101" s="46"/>
      <c r="P101" s="46" t="str">
        <f aca="false">IF(OR(B101="",I101&lt;&gt;"Save for a later revision"),"",IF(COUNTIF('Deferred edits'!$K$2:$K$201,A101)&gt;0,"Yes","● Add to Deferred edits"))</f>
        <v/>
      </c>
    </row>
    <row r="102" customFormat="false" ht="15" hidden="false" customHeight="false" outlineLevel="0" collapsed="false">
      <c r="A102" s="46" t="s">
        <v>397</v>
      </c>
      <c r="B102" s="46"/>
      <c r="C102" s="46"/>
      <c r="D102" s="46"/>
      <c r="E102" s="46"/>
      <c r="F102" s="46"/>
      <c r="G102" s="46"/>
      <c r="H102" s="46"/>
      <c r="I102" s="46"/>
      <c r="J102" s="46"/>
      <c r="K102" s="46"/>
      <c r="L102" s="46"/>
      <c r="M102" s="46" t="str">
        <f aca="false">IF(OR(B102="",I102=""),"",IFERROR(INDEX('Comment flow'!$C$40:$C$46,MATCH(I102,'Comment flow'!$A$40:$A$46,0)),""))</f>
        <v/>
      </c>
      <c r="N102" s="46" t="str">
        <f aca="false">IF(B102="","",IF(OR(I102="",I102="Open: needs a decision",L102=""),"Open","Closed"))</f>
        <v/>
      </c>
      <c r="O102" s="46"/>
      <c r="P102" s="46" t="str">
        <f aca="false">IF(OR(B102="",I102&lt;&gt;"Save for a later revision"),"",IF(COUNTIF('Deferred edits'!$K$2:$K$201,A102)&gt;0,"Yes","● Add to Deferred edits"))</f>
        <v/>
      </c>
    </row>
    <row r="103" customFormat="false" ht="15" hidden="false" customHeight="false" outlineLevel="0" collapsed="false">
      <c r="A103" s="46" t="s">
        <v>398</v>
      </c>
      <c r="B103" s="46"/>
      <c r="C103" s="46"/>
      <c r="D103" s="46"/>
      <c r="E103" s="46"/>
      <c r="F103" s="46"/>
      <c r="G103" s="46"/>
      <c r="H103" s="46"/>
      <c r="I103" s="46"/>
      <c r="J103" s="46"/>
      <c r="K103" s="46"/>
      <c r="L103" s="46"/>
      <c r="M103" s="46" t="str">
        <f aca="false">IF(OR(B103="",I103=""),"",IFERROR(INDEX('Comment flow'!$C$40:$C$46,MATCH(I103,'Comment flow'!$A$40:$A$46,0)),""))</f>
        <v/>
      </c>
      <c r="N103" s="46" t="str">
        <f aca="false">IF(B103="","",IF(OR(I103="",I103="Open: needs a decision",L103=""),"Open","Closed"))</f>
        <v/>
      </c>
      <c r="O103" s="46"/>
      <c r="P103" s="46" t="str">
        <f aca="false">IF(OR(B103="",I103&lt;&gt;"Save for a later revision"),"",IF(COUNTIF('Deferred edits'!$K$2:$K$201,A103)&gt;0,"Yes","● Add to Deferred edits"))</f>
        <v/>
      </c>
    </row>
    <row r="104" customFormat="false" ht="15" hidden="false" customHeight="false" outlineLevel="0" collapsed="false">
      <c r="A104" s="46" t="s">
        <v>399</v>
      </c>
      <c r="B104" s="46"/>
      <c r="C104" s="46"/>
      <c r="D104" s="46"/>
      <c r="E104" s="46"/>
      <c r="F104" s="46"/>
      <c r="G104" s="46"/>
      <c r="H104" s="46"/>
      <c r="I104" s="46"/>
      <c r="J104" s="46"/>
      <c r="K104" s="46"/>
      <c r="L104" s="46"/>
      <c r="M104" s="46" t="str">
        <f aca="false">IF(OR(B104="",I104=""),"",IFERROR(INDEX('Comment flow'!$C$40:$C$46,MATCH(I104,'Comment flow'!$A$40:$A$46,0)),""))</f>
        <v/>
      </c>
      <c r="N104" s="46" t="str">
        <f aca="false">IF(B104="","",IF(OR(I104="",I104="Open: needs a decision",L104=""),"Open","Closed"))</f>
        <v/>
      </c>
      <c r="O104" s="46"/>
      <c r="P104" s="46" t="str">
        <f aca="false">IF(OR(B104="",I104&lt;&gt;"Save for a later revision"),"",IF(COUNTIF('Deferred edits'!$K$2:$K$201,A104)&gt;0,"Yes","● Add to Deferred edits"))</f>
        <v/>
      </c>
    </row>
    <row r="105" customFormat="false" ht="15" hidden="false" customHeight="false" outlineLevel="0" collapsed="false">
      <c r="A105" s="46" t="s">
        <v>400</v>
      </c>
      <c r="B105" s="46"/>
      <c r="C105" s="46"/>
      <c r="D105" s="46"/>
      <c r="E105" s="46"/>
      <c r="F105" s="46"/>
      <c r="G105" s="46"/>
      <c r="H105" s="46"/>
      <c r="I105" s="46"/>
      <c r="J105" s="46"/>
      <c r="K105" s="46"/>
      <c r="L105" s="46"/>
      <c r="M105" s="46" t="str">
        <f aca="false">IF(OR(B105="",I105=""),"",IFERROR(INDEX('Comment flow'!$C$40:$C$46,MATCH(I105,'Comment flow'!$A$40:$A$46,0)),""))</f>
        <v/>
      </c>
      <c r="N105" s="46" t="str">
        <f aca="false">IF(B105="","",IF(OR(I105="",I105="Open: needs a decision",L105=""),"Open","Closed"))</f>
        <v/>
      </c>
      <c r="O105" s="46"/>
      <c r="P105" s="46" t="str">
        <f aca="false">IF(OR(B105="",I105&lt;&gt;"Save for a later revision"),"",IF(COUNTIF('Deferred edits'!$K$2:$K$201,A105)&gt;0,"Yes","● Add to Deferred edits"))</f>
        <v/>
      </c>
    </row>
    <row r="106" customFormat="false" ht="15" hidden="false" customHeight="false" outlineLevel="0" collapsed="false">
      <c r="A106" s="46" t="s">
        <v>401</v>
      </c>
      <c r="B106" s="46"/>
      <c r="C106" s="46"/>
      <c r="D106" s="46"/>
      <c r="E106" s="46"/>
      <c r="F106" s="46"/>
      <c r="G106" s="46"/>
      <c r="H106" s="46"/>
      <c r="I106" s="46"/>
      <c r="J106" s="46"/>
      <c r="K106" s="46"/>
      <c r="L106" s="46"/>
      <c r="M106" s="46" t="str">
        <f aca="false">IF(OR(B106="",I106=""),"",IFERROR(INDEX('Comment flow'!$C$40:$C$46,MATCH(I106,'Comment flow'!$A$40:$A$46,0)),""))</f>
        <v/>
      </c>
      <c r="N106" s="46" t="str">
        <f aca="false">IF(B106="","",IF(OR(I106="",I106="Open: needs a decision",L106=""),"Open","Closed"))</f>
        <v/>
      </c>
      <c r="O106" s="46"/>
      <c r="P106" s="46" t="str">
        <f aca="false">IF(OR(B106="",I106&lt;&gt;"Save for a later revision"),"",IF(COUNTIF('Deferred edits'!$K$2:$K$201,A106)&gt;0,"Yes","● Add to Deferred edits"))</f>
        <v/>
      </c>
    </row>
    <row r="107" customFormat="false" ht="15" hidden="false" customHeight="false" outlineLevel="0" collapsed="false">
      <c r="A107" s="46" t="s">
        <v>402</v>
      </c>
      <c r="B107" s="46"/>
      <c r="C107" s="46"/>
      <c r="D107" s="46"/>
      <c r="E107" s="46"/>
      <c r="F107" s="46"/>
      <c r="G107" s="46"/>
      <c r="H107" s="46"/>
      <c r="I107" s="46"/>
      <c r="J107" s="46"/>
      <c r="K107" s="46"/>
      <c r="L107" s="46"/>
      <c r="M107" s="46" t="str">
        <f aca="false">IF(OR(B107="",I107=""),"",IFERROR(INDEX('Comment flow'!$C$40:$C$46,MATCH(I107,'Comment flow'!$A$40:$A$46,0)),""))</f>
        <v/>
      </c>
      <c r="N107" s="46" t="str">
        <f aca="false">IF(B107="","",IF(OR(I107="",I107="Open: needs a decision",L107=""),"Open","Closed"))</f>
        <v/>
      </c>
      <c r="O107" s="46"/>
      <c r="P107" s="46" t="str">
        <f aca="false">IF(OR(B107="",I107&lt;&gt;"Save for a later revision"),"",IF(COUNTIF('Deferred edits'!$K$2:$K$201,A107)&gt;0,"Yes","● Add to Deferred edits"))</f>
        <v/>
      </c>
    </row>
    <row r="108" customFormat="false" ht="15" hidden="false" customHeight="false" outlineLevel="0" collapsed="false">
      <c r="A108" s="46" t="s">
        <v>403</v>
      </c>
      <c r="B108" s="46"/>
      <c r="C108" s="46"/>
      <c r="D108" s="46"/>
      <c r="E108" s="46"/>
      <c r="F108" s="46"/>
      <c r="G108" s="46"/>
      <c r="H108" s="46"/>
      <c r="I108" s="46"/>
      <c r="J108" s="46"/>
      <c r="K108" s="46"/>
      <c r="L108" s="46"/>
      <c r="M108" s="46" t="str">
        <f aca="false">IF(OR(B108="",I108=""),"",IFERROR(INDEX('Comment flow'!$C$40:$C$46,MATCH(I108,'Comment flow'!$A$40:$A$46,0)),""))</f>
        <v/>
      </c>
      <c r="N108" s="46" t="str">
        <f aca="false">IF(B108="","",IF(OR(I108="",I108="Open: needs a decision",L108=""),"Open","Closed"))</f>
        <v/>
      </c>
      <c r="O108" s="46"/>
      <c r="P108" s="46" t="str">
        <f aca="false">IF(OR(B108="",I108&lt;&gt;"Save for a later revision"),"",IF(COUNTIF('Deferred edits'!$K$2:$K$201,A108)&gt;0,"Yes","● Add to Deferred edits"))</f>
        <v/>
      </c>
    </row>
    <row r="109" customFormat="false" ht="15" hidden="false" customHeight="false" outlineLevel="0" collapsed="false">
      <c r="A109" s="46" t="s">
        <v>404</v>
      </c>
      <c r="B109" s="46"/>
      <c r="C109" s="46"/>
      <c r="D109" s="46"/>
      <c r="E109" s="46"/>
      <c r="F109" s="46"/>
      <c r="G109" s="46"/>
      <c r="H109" s="46"/>
      <c r="I109" s="46"/>
      <c r="J109" s="46"/>
      <c r="K109" s="46"/>
      <c r="L109" s="46"/>
      <c r="M109" s="46" t="str">
        <f aca="false">IF(OR(B109="",I109=""),"",IFERROR(INDEX('Comment flow'!$C$40:$C$46,MATCH(I109,'Comment flow'!$A$40:$A$46,0)),""))</f>
        <v/>
      </c>
      <c r="N109" s="46" t="str">
        <f aca="false">IF(B109="","",IF(OR(I109="",I109="Open: needs a decision",L109=""),"Open","Closed"))</f>
        <v/>
      </c>
      <c r="O109" s="46"/>
      <c r="P109" s="46" t="str">
        <f aca="false">IF(OR(B109="",I109&lt;&gt;"Save for a later revision"),"",IF(COUNTIF('Deferred edits'!$K$2:$K$201,A109)&gt;0,"Yes","● Add to Deferred edits"))</f>
        <v/>
      </c>
    </row>
    <row r="110" customFormat="false" ht="15" hidden="false" customHeight="false" outlineLevel="0" collapsed="false">
      <c r="A110" s="46" t="s">
        <v>405</v>
      </c>
      <c r="B110" s="46"/>
      <c r="C110" s="46"/>
      <c r="D110" s="46"/>
      <c r="E110" s="46"/>
      <c r="F110" s="46"/>
      <c r="G110" s="46"/>
      <c r="H110" s="46"/>
      <c r="I110" s="46"/>
      <c r="J110" s="46"/>
      <c r="K110" s="46"/>
      <c r="L110" s="46"/>
      <c r="M110" s="46" t="str">
        <f aca="false">IF(OR(B110="",I110=""),"",IFERROR(INDEX('Comment flow'!$C$40:$C$46,MATCH(I110,'Comment flow'!$A$40:$A$46,0)),""))</f>
        <v/>
      </c>
      <c r="N110" s="46" t="str">
        <f aca="false">IF(B110="","",IF(OR(I110="",I110="Open: needs a decision",L110=""),"Open","Closed"))</f>
        <v/>
      </c>
      <c r="O110" s="46"/>
      <c r="P110" s="46" t="str">
        <f aca="false">IF(OR(B110="",I110&lt;&gt;"Save for a later revision"),"",IF(COUNTIF('Deferred edits'!$K$2:$K$201,A110)&gt;0,"Yes","● Add to Deferred edits"))</f>
        <v/>
      </c>
    </row>
    <row r="111" customFormat="false" ht="15" hidden="false" customHeight="false" outlineLevel="0" collapsed="false">
      <c r="A111" s="46" t="s">
        <v>406</v>
      </c>
      <c r="B111" s="46"/>
      <c r="C111" s="46"/>
      <c r="D111" s="46"/>
      <c r="E111" s="46"/>
      <c r="F111" s="46"/>
      <c r="G111" s="46"/>
      <c r="H111" s="46"/>
      <c r="I111" s="46"/>
      <c r="J111" s="46"/>
      <c r="K111" s="46"/>
      <c r="L111" s="46"/>
      <c r="M111" s="46" t="str">
        <f aca="false">IF(OR(B111="",I111=""),"",IFERROR(INDEX('Comment flow'!$C$40:$C$46,MATCH(I111,'Comment flow'!$A$40:$A$46,0)),""))</f>
        <v/>
      </c>
      <c r="N111" s="46" t="str">
        <f aca="false">IF(B111="","",IF(OR(I111="",I111="Open: needs a decision",L111=""),"Open","Closed"))</f>
        <v/>
      </c>
      <c r="O111" s="46"/>
      <c r="P111" s="46" t="str">
        <f aca="false">IF(OR(B111="",I111&lt;&gt;"Save for a later revision"),"",IF(COUNTIF('Deferred edits'!$K$2:$K$201,A111)&gt;0,"Yes","● Add to Deferred edits"))</f>
        <v/>
      </c>
    </row>
    <row r="112" customFormat="false" ht="15" hidden="false" customHeight="false" outlineLevel="0" collapsed="false">
      <c r="A112" s="46" t="s">
        <v>407</v>
      </c>
      <c r="B112" s="46"/>
      <c r="C112" s="46"/>
      <c r="D112" s="46"/>
      <c r="E112" s="46"/>
      <c r="F112" s="46"/>
      <c r="G112" s="46"/>
      <c r="H112" s="46"/>
      <c r="I112" s="46"/>
      <c r="J112" s="46"/>
      <c r="K112" s="46"/>
      <c r="L112" s="46"/>
      <c r="M112" s="46" t="str">
        <f aca="false">IF(OR(B112="",I112=""),"",IFERROR(INDEX('Comment flow'!$C$40:$C$46,MATCH(I112,'Comment flow'!$A$40:$A$46,0)),""))</f>
        <v/>
      </c>
      <c r="N112" s="46" t="str">
        <f aca="false">IF(B112="","",IF(OR(I112="",I112="Open: needs a decision",L112=""),"Open","Closed"))</f>
        <v/>
      </c>
      <c r="O112" s="46"/>
      <c r="P112" s="46" t="str">
        <f aca="false">IF(OR(B112="",I112&lt;&gt;"Save for a later revision"),"",IF(COUNTIF('Deferred edits'!$K$2:$K$201,A112)&gt;0,"Yes","● Add to Deferred edits"))</f>
        <v/>
      </c>
    </row>
    <row r="113" customFormat="false" ht="15" hidden="false" customHeight="false" outlineLevel="0" collapsed="false">
      <c r="A113" s="46" t="s">
        <v>408</v>
      </c>
      <c r="B113" s="46"/>
      <c r="C113" s="46"/>
      <c r="D113" s="46"/>
      <c r="E113" s="46"/>
      <c r="F113" s="46"/>
      <c r="G113" s="46"/>
      <c r="H113" s="46"/>
      <c r="I113" s="46"/>
      <c r="J113" s="46"/>
      <c r="K113" s="46"/>
      <c r="L113" s="46"/>
      <c r="M113" s="46" t="str">
        <f aca="false">IF(OR(B113="",I113=""),"",IFERROR(INDEX('Comment flow'!$C$40:$C$46,MATCH(I113,'Comment flow'!$A$40:$A$46,0)),""))</f>
        <v/>
      </c>
      <c r="N113" s="46" t="str">
        <f aca="false">IF(B113="","",IF(OR(I113="",I113="Open: needs a decision",L113=""),"Open","Closed"))</f>
        <v/>
      </c>
      <c r="O113" s="46"/>
      <c r="P113" s="46" t="str">
        <f aca="false">IF(OR(B113="",I113&lt;&gt;"Save for a later revision"),"",IF(COUNTIF('Deferred edits'!$K$2:$K$201,A113)&gt;0,"Yes","● Add to Deferred edits"))</f>
        <v/>
      </c>
    </row>
    <row r="114" customFormat="false" ht="15" hidden="false" customHeight="false" outlineLevel="0" collapsed="false">
      <c r="A114" s="46" t="s">
        <v>409</v>
      </c>
      <c r="B114" s="46"/>
      <c r="C114" s="46"/>
      <c r="D114" s="46"/>
      <c r="E114" s="46"/>
      <c r="F114" s="46"/>
      <c r="G114" s="46"/>
      <c r="H114" s="46"/>
      <c r="I114" s="46"/>
      <c r="J114" s="46"/>
      <c r="K114" s="46"/>
      <c r="L114" s="46"/>
      <c r="M114" s="46" t="str">
        <f aca="false">IF(OR(B114="",I114=""),"",IFERROR(INDEX('Comment flow'!$C$40:$C$46,MATCH(I114,'Comment flow'!$A$40:$A$46,0)),""))</f>
        <v/>
      </c>
      <c r="N114" s="46" t="str">
        <f aca="false">IF(B114="","",IF(OR(I114="",I114="Open: needs a decision",L114=""),"Open","Closed"))</f>
        <v/>
      </c>
      <c r="O114" s="46"/>
      <c r="P114" s="46" t="str">
        <f aca="false">IF(OR(B114="",I114&lt;&gt;"Save for a later revision"),"",IF(COUNTIF('Deferred edits'!$K$2:$K$201,A114)&gt;0,"Yes","● Add to Deferred edits"))</f>
        <v/>
      </c>
    </row>
    <row r="115" customFormat="false" ht="15" hidden="false" customHeight="false" outlineLevel="0" collapsed="false">
      <c r="A115" s="46" t="s">
        <v>410</v>
      </c>
      <c r="B115" s="46"/>
      <c r="C115" s="46"/>
      <c r="D115" s="46"/>
      <c r="E115" s="46"/>
      <c r="F115" s="46"/>
      <c r="G115" s="46"/>
      <c r="H115" s="46"/>
      <c r="I115" s="46"/>
      <c r="J115" s="46"/>
      <c r="K115" s="46"/>
      <c r="L115" s="46"/>
      <c r="M115" s="46" t="str">
        <f aca="false">IF(OR(B115="",I115=""),"",IFERROR(INDEX('Comment flow'!$C$40:$C$46,MATCH(I115,'Comment flow'!$A$40:$A$46,0)),""))</f>
        <v/>
      </c>
      <c r="N115" s="46" t="str">
        <f aca="false">IF(B115="","",IF(OR(I115="",I115="Open: needs a decision",L115=""),"Open","Closed"))</f>
        <v/>
      </c>
      <c r="O115" s="46"/>
      <c r="P115" s="46" t="str">
        <f aca="false">IF(OR(B115="",I115&lt;&gt;"Save for a later revision"),"",IF(COUNTIF('Deferred edits'!$K$2:$K$201,A115)&gt;0,"Yes","● Add to Deferred edits"))</f>
        <v/>
      </c>
    </row>
    <row r="116" customFormat="false" ht="15" hidden="false" customHeight="false" outlineLevel="0" collapsed="false">
      <c r="A116" s="46" t="s">
        <v>411</v>
      </c>
      <c r="B116" s="46"/>
      <c r="C116" s="46"/>
      <c r="D116" s="46"/>
      <c r="E116" s="46"/>
      <c r="F116" s="46"/>
      <c r="G116" s="46"/>
      <c r="H116" s="46"/>
      <c r="I116" s="46"/>
      <c r="J116" s="46"/>
      <c r="K116" s="46"/>
      <c r="L116" s="46"/>
      <c r="M116" s="46" t="str">
        <f aca="false">IF(OR(B116="",I116=""),"",IFERROR(INDEX('Comment flow'!$C$40:$C$46,MATCH(I116,'Comment flow'!$A$40:$A$46,0)),""))</f>
        <v/>
      </c>
      <c r="N116" s="46" t="str">
        <f aca="false">IF(B116="","",IF(OR(I116="",I116="Open: needs a decision",L116=""),"Open","Closed"))</f>
        <v/>
      </c>
      <c r="O116" s="46"/>
      <c r="P116" s="46" t="str">
        <f aca="false">IF(OR(B116="",I116&lt;&gt;"Save for a later revision"),"",IF(COUNTIF('Deferred edits'!$K$2:$K$201,A116)&gt;0,"Yes","● Add to Deferred edits"))</f>
        <v/>
      </c>
    </row>
    <row r="117" customFormat="false" ht="15" hidden="false" customHeight="false" outlineLevel="0" collapsed="false">
      <c r="A117" s="46" t="s">
        <v>412</v>
      </c>
      <c r="B117" s="46"/>
      <c r="C117" s="46"/>
      <c r="D117" s="46"/>
      <c r="E117" s="46"/>
      <c r="F117" s="46"/>
      <c r="G117" s="46"/>
      <c r="H117" s="46"/>
      <c r="I117" s="46"/>
      <c r="J117" s="46"/>
      <c r="K117" s="46"/>
      <c r="L117" s="46"/>
      <c r="M117" s="46" t="str">
        <f aca="false">IF(OR(B117="",I117=""),"",IFERROR(INDEX('Comment flow'!$C$40:$C$46,MATCH(I117,'Comment flow'!$A$40:$A$46,0)),""))</f>
        <v/>
      </c>
      <c r="N117" s="46" t="str">
        <f aca="false">IF(B117="","",IF(OR(I117="",I117="Open: needs a decision",L117=""),"Open","Closed"))</f>
        <v/>
      </c>
      <c r="O117" s="46"/>
      <c r="P117" s="46" t="str">
        <f aca="false">IF(OR(B117="",I117&lt;&gt;"Save for a later revision"),"",IF(COUNTIF('Deferred edits'!$K$2:$K$201,A117)&gt;0,"Yes","● Add to Deferred edits"))</f>
        <v/>
      </c>
    </row>
    <row r="118" customFormat="false" ht="15" hidden="false" customHeight="false" outlineLevel="0" collapsed="false">
      <c r="A118" s="46" t="s">
        <v>413</v>
      </c>
      <c r="B118" s="46"/>
      <c r="C118" s="46"/>
      <c r="D118" s="46"/>
      <c r="E118" s="46"/>
      <c r="F118" s="46"/>
      <c r="G118" s="46"/>
      <c r="H118" s="46"/>
      <c r="I118" s="46"/>
      <c r="J118" s="46"/>
      <c r="K118" s="46"/>
      <c r="L118" s="46"/>
      <c r="M118" s="46" t="str">
        <f aca="false">IF(OR(B118="",I118=""),"",IFERROR(INDEX('Comment flow'!$C$40:$C$46,MATCH(I118,'Comment flow'!$A$40:$A$46,0)),""))</f>
        <v/>
      </c>
      <c r="N118" s="46" t="str">
        <f aca="false">IF(B118="","",IF(OR(I118="",I118="Open: needs a decision",L118=""),"Open","Closed"))</f>
        <v/>
      </c>
      <c r="O118" s="46"/>
      <c r="P118" s="46" t="str">
        <f aca="false">IF(OR(B118="",I118&lt;&gt;"Save for a later revision"),"",IF(COUNTIF('Deferred edits'!$K$2:$K$201,A118)&gt;0,"Yes","● Add to Deferred edits"))</f>
        <v/>
      </c>
    </row>
    <row r="119" customFormat="false" ht="15" hidden="false" customHeight="false" outlineLevel="0" collapsed="false">
      <c r="A119" s="46" t="s">
        <v>414</v>
      </c>
      <c r="B119" s="46"/>
      <c r="C119" s="46"/>
      <c r="D119" s="46"/>
      <c r="E119" s="46"/>
      <c r="F119" s="46"/>
      <c r="G119" s="46"/>
      <c r="H119" s="46"/>
      <c r="I119" s="46"/>
      <c r="J119" s="46"/>
      <c r="K119" s="46"/>
      <c r="L119" s="46"/>
      <c r="M119" s="46" t="str">
        <f aca="false">IF(OR(B119="",I119=""),"",IFERROR(INDEX('Comment flow'!$C$40:$C$46,MATCH(I119,'Comment flow'!$A$40:$A$46,0)),""))</f>
        <v/>
      </c>
      <c r="N119" s="46" t="str">
        <f aca="false">IF(B119="","",IF(OR(I119="",I119="Open: needs a decision",L119=""),"Open","Closed"))</f>
        <v/>
      </c>
      <c r="O119" s="46"/>
      <c r="P119" s="46" t="str">
        <f aca="false">IF(OR(B119="",I119&lt;&gt;"Save for a later revision"),"",IF(COUNTIF('Deferred edits'!$K$2:$K$201,A119)&gt;0,"Yes","● Add to Deferred edits"))</f>
        <v/>
      </c>
    </row>
    <row r="120" customFormat="false" ht="15" hidden="false" customHeight="false" outlineLevel="0" collapsed="false">
      <c r="A120" s="46" t="s">
        <v>415</v>
      </c>
      <c r="B120" s="46"/>
      <c r="C120" s="46"/>
      <c r="D120" s="46"/>
      <c r="E120" s="46"/>
      <c r="F120" s="46"/>
      <c r="G120" s="46"/>
      <c r="H120" s="46"/>
      <c r="I120" s="46"/>
      <c r="J120" s="46"/>
      <c r="K120" s="46"/>
      <c r="L120" s="46"/>
      <c r="M120" s="46" t="str">
        <f aca="false">IF(OR(B120="",I120=""),"",IFERROR(INDEX('Comment flow'!$C$40:$C$46,MATCH(I120,'Comment flow'!$A$40:$A$46,0)),""))</f>
        <v/>
      </c>
      <c r="N120" s="46" t="str">
        <f aca="false">IF(B120="","",IF(OR(I120="",I120="Open: needs a decision",L120=""),"Open","Closed"))</f>
        <v/>
      </c>
      <c r="O120" s="46"/>
      <c r="P120" s="46" t="str">
        <f aca="false">IF(OR(B120="",I120&lt;&gt;"Save for a later revision"),"",IF(COUNTIF('Deferred edits'!$K$2:$K$201,A120)&gt;0,"Yes","● Add to Deferred edits"))</f>
        <v/>
      </c>
    </row>
    <row r="121" customFormat="false" ht="15" hidden="false" customHeight="false" outlineLevel="0" collapsed="false">
      <c r="A121" s="46" t="s">
        <v>416</v>
      </c>
      <c r="B121" s="46"/>
      <c r="C121" s="46"/>
      <c r="D121" s="46"/>
      <c r="E121" s="46"/>
      <c r="F121" s="46"/>
      <c r="G121" s="46"/>
      <c r="H121" s="46"/>
      <c r="I121" s="46"/>
      <c r="J121" s="46"/>
      <c r="K121" s="46"/>
      <c r="L121" s="46"/>
      <c r="M121" s="46" t="str">
        <f aca="false">IF(OR(B121="",I121=""),"",IFERROR(INDEX('Comment flow'!$C$40:$C$46,MATCH(I121,'Comment flow'!$A$40:$A$46,0)),""))</f>
        <v/>
      </c>
      <c r="N121" s="46" t="str">
        <f aca="false">IF(B121="","",IF(OR(I121="",I121="Open: needs a decision",L121=""),"Open","Closed"))</f>
        <v/>
      </c>
      <c r="O121" s="46"/>
      <c r="P121" s="46" t="str">
        <f aca="false">IF(OR(B121="",I121&lt;&gt;"Save for a later revision"),"",IF(COUNTIF('Deferred edits'!$K$2:$K$201,A121)&gt;0,"Yes","● Add to Deferred edits"))</f>
        <v/>
      </c>
    </row>
    <row r="122" customFormat="false" ht="15" hidden="false" customHeight="false" outlineLevel="0" collapsed="false">
      <c r="A122" s="46" t="s">
        <v>417</v>
      </c>
      <c r="B122" s="46"/>
      <c r="C122" s="46"/>
      <c r="D122" s="46"/>
      <c r="E122" s="46"/>
      <c r="F122" s="46"/>
      <c r="G122" s="46"/>
      <c r="H122" s="46"/>
      <c r="I122" s="46"/>
      <c r="J122" s="46"/>
      <c r="K122" s="46"/>
      <c r="L122" s="46"/>
      <c r="M122" s="46" t="str">
        <f aca="false">IF(OR(B122="",I122=""),"",IFERROR(INDEX('Comment flow'!$C$40:$C$46,MATCH(I122,'Comment flow'!$A$40:$A$46,0)),""))</f>
        <v/>
      </c>
      <c r="N122" s="46" t="str">
        <f aca="false">IF(B122="","",IF(OR(I122="",I122="Open: needs a decision",L122=""),"Open","Closed"))</f>
        <v/>
      </c>
      <c r="O122" s="46"/>
      <c r="P122" s="46" t="str">
        <f aca="false">IF(OR(B122="",I122&lt;&gt;"Save for a later revision"),"",IF(COUNTIF('Deferred edits'!$K$2:$K$201,A122)&gt;0,"Yes","● Add to Deferred edits"))</f>
        <v/>
      </c>
    </row>
    <row r="123" customFormat="false" ht="15" hidden="false" customHeight="false" outlineLevel="0" collapsed="false">
      <c r="A123" s="46" t="s">
        <v>418</v>
      </c>
      <c r="B123" s="46"/>
      <c r="C123" s="46"/>
      <c r="D123" s="46"/>
      <c r="E123" s="46"/>
      <c r="F123" s="46"/>
      <c r="G123" s="46"/>
      <c r="H123" s="46"/>
      <c r="I123" s="46"/>
      <c r="J123" s="46"/>
      <c r="K123" s="46"/>
      <c r="L123" s="46"/>
      <c r="M123" s="46" t="str">
        <f aca="false">IF(OR(B123="",I123=""),"",IFERROR(INDEX('Comment flow'!$C$40:$C$46,MATCH(I123,'Comment flow'!$A$40:$A$46,0)),""))</f>
        <v/>
      </c>
      <c r="N123" s="46" t="str">
        <f aca="false">IF(B123="","",IF(OR(I123="",I123="Open: needs a decision",L123=""),"Open","Closed"))</f>
        <v/>
      </c>
      <c r="O123" s="46"/>
      <c r="P123" s="46" t="str">
        <f aca="false">IF(OR(B123="",I123&lt;&gt;"Save for a later revision"),"",IF(COUNTIF('Deferred edits'!$K$2:$K$201,A123)&gt;0,"Yes","● Add to Deferred edits"))</f>
        <v/>
      </c>
    </row>
    <row r="124" customFormat="false" ht="15" hidden="false" customHeight="false" outlineLevel="0" collapsed="false">
      <c r="A124" s="46" t="s">
        <v>419</v>
      </c>
      <c r="B124" s="46"/>
      <c r="C124" s="46"/>
      <c r="D124" s="46"/>
      <c r="E124" s="46"/>
      <c r="F124" s="46"/>
      <c r="G124" s="46"/>
      <c r="H124" s="46"/>
      <c r="I124" s="46"/>
      <c r="J124" s="46"/>
      <c r="K124" s="46"/>
      <c r="L124" s="46"/>
      <c r="M124" s="46" t="str">
        <f aca="false">IF(OR(B124="",I124=""),"",IFERROR(INDEX('Comment flow'!$C$40:$C$46,MATCH(I124,'Comment flow'!$A$40:$A$46,0)),""))</f>
        <v/>
      </c>
      <c r="N124" s="46" t="str">
        <f aca="false">IF(B124="","",IF(OR(I124="",I124="Open: needs a decision",L124=""),"Open","Closed"))</f>
        <v/>
      </c>
      <c r="O124" s="46"/>
      <c r="P124" s="46" t="str">
        <f aca="false">IF(OR(B124="",I124&lt;&gt;"Save for a later revision"),"",IF(COUNTIF('Deferred edits'!$K$2:$K$201,A124)&gt;0,"Yes","● Add to Deferred edits"))</f>
        <v/>
      </c>
    </row>
    <row r="125" customFormat="false" ht="15" hidden="false" customHeight="false" outlineLevel="0" collapsed="false">
      <c r="A125" s="46" t="s">
        <v>420</v>
      </c>
      <c r="B125" s="46"/>
      <c r="C125" s="46"/>
      <c r="D125" s="46"/>
      <c r="E125" s="46"/>
      <c r="F125" s="46"/>
      <c r="G125" s="46"/>
      <c r="H125" s="46"/>
      <c r="I125" s="46"/>
      <c r="J125" s="46"/>
      <c r="K125" s="46"/>
      <c r="L125" s="46"/>
      <c r="M125" s="46" t="str">
        <f aca="false">IF(OR(B125="",I125=""),"",IFERROR(INDEX('Comment flow'!$C$40:$C$46,MATCH(I125,'Comment flow'!$A$40:$A$46,0)),""))</f>
        <v/>
      </c>
      <c r="N125" s="46" t="str">
        <f aca="false">IF(B125="","",IF(OR(I125="",I125="Open: needs a decision",L125=""),"Open","Closed"))</f>
        <v/>
      </c>
      <c r="O125" s="46"/>
      <c r="P125" s="46" t="str">
        <f aca="false">IF(OR(B125="",I125&lt;&gt;"Save for a later revision"),"",IF(COUNTIF('Deferred edits'!$K$2:$K$201,A125)&gt;0,"Yes","● Add to Deferred edits"))</f>
        <v/>
      </c>
    </row>
    <row r="126" customFormat="false" ht="15" hidden="false" customHeight="false" outlineLevel="0" collapsed="false">
      <c r="A126" s="46" t="s">
        <v>421</v>
      </c>
      <c r="B126" s="46"/>
      <c r="C126" s="46"/>
      <c r="D126" s="46"/>
      <c r="E126" s="46"/>
      <c r="F126" s="46"/>
      <c r="G126" s="46"/>
      <c r="H126" s="46"/>
      <c r="I126" s="46"/>
      <c r="J126" s="46"/>
      <c r="K126" s="46"/>
      <c r="L126" s="46"/>
      <c r="M126" s="46" t="str">
        <f aca="false">IF(OR(B126="",I126=""),"",IFERROR(INDEX('Comment flow'!$C$40:$C$46,MATCH(I126,'Comment flow'!$A$40:$A$46,0)),""))</f>
        <v/>
      </c>
      <c r="N126" s="46" t="str">
        <f aca="false">IF(B126="","",IF(OR(I126="",I126="Open: needs a decision",L126=""),"Open","Closed"))</f>
        <v/>
      </c>
      <c r="O126" s="46"/>
      <c r="P126" s="46" t="str">
        <f aca="false">IF(OR(B126="",I126&lt;&gt;"Save for a later revision"),"",IF(COUNTIF('Deferred edits'!$K$2:$K$201,A126)&gt;0,"Yes","● Add to Deferred edits"))</f>
        <v/>
      </c>
    </row>
    <row r="127" customFormat="false" ht="15" hidden="false" customHeight="false" outlineLevel="0" collapsed="false">
      <c r="A127" s="46" t="s">
        <v>422</v>
      </c>
      <c r="B127" s="46"/>
      <c r="C127" s="46"/>
      <c r="D127" s="46"/>
      <c r="E127" s="46"/>
      <c r="F127" s="46"/>
      <c r="G127" s="46"/>
      <c r="H127" s="46"/>
      <c r="I127" s="46"/>
      <c r="J127" s="46"/>
      <c r="K127" s="46"/>
      <c r="L127" s="46"/>
      <c r="M127" s="46" t="str">
        <f aca="false">IF(OR(B127="",I127=""),"",IFERROR(INDEX('Comment flow'!$C$40:$C$46,MATCH(I127,'Comment flow'!$A$40:$A$46,0)),""))</f>
        <v/>
      </c>
      <c r="N127" s="46" t="str">
        <f aca="false">IF(B127="","",IF(OR(I127="",I127="Open: needs a decision",L127=""),"Open","Closed"))</f>
        <v/>
      </c>
      <c r="O127" s="46"/>
      <c r="P127" s="46" t="str">
        <f aca="false">IF(OR(B127="",I127&lt;&gt;"Save for a later revision"),"",IF(COUNTIF('Deferred edits'!$K$2:$K$201,A127)&gt;0,"Yes","● Add to Deferred edits"))</f>
        <v/>
      </c>
    </row>
    <row r="128" customFormat="false" ht="15" hidden="false" customHeight="false" outlineLevel="0" collapsed="false">
      <c r="A128" s="46" t="s">
        <v>423</v>
      </c>
      <c r="B128" s="46"/>
      <c r="C128" s="46"/>
      <c r="D128" s="46"/>
      <c r="E128" s="46"/>
      <c r="F128" s="46"/>
      <c r="G128" s="46"/>
      <c r="H128" s="46"/>
      <c r="I128" s="46"/>
      <c r="J128" s="46"/>
      <c r="K128" s="46"/>
      <c r="L128" s="46"/>
      <c r="M128" s="46" t="str">
        <f aca="false">IF(OR(B128="",I128=""),"",IFERROR(INDEX('Comment flow'!$C$40:$C$46,MATCH(I128,'Comment flow'!$A$40:$A$46,0)),""))</f>
        <v/>
      </c>
      <c r="N128" s="46" t="str">
        <f aca="false">IF(B128="","",IF(OR(I128="",I128="Open: needs a decision",L128=""),"Open","Closed"))</f>
        <v/>
      </c>
      <c r="O128" s="46"/>
      <c r="P128" s="46" t="str">
        <f aca="false">IF(OR(B128="",I128&lt;&gt;"Save for a later revision"),"",IF(COUNTIF('Deferred edits'!$K$2:$K$201,A128)&gt;0,"Yes","● Add to Deferred edits"))</f>
        <v/>
      </c>
    </row>
    <row r="129" customFormat="false" ht="15" hidden="false" customHeight="false" outlineLevel="0" collapsed="false">
      <c r="A129" s="46" t="s">
        <v>424</v>
      </c>
      <c r="B129" s="46"/>
      <c r="C129" s="46"/>
      <c r="D129" s="46"/>
      <c r="E129" s="46"/>
      <c r="F129" s="46"/>
      <c r="G129" s="46"/>
      <c r="H129" s="46"/>
      <c r="I129" s="46"/>
      <c r="J129" s="46"/>
      <c r="K129" s="46"/>
      <c r="L129" s="46"/>
      <c r="M129" s="46" t="str">
        <f aca="false">IF(OR(B129="",I129=""),"",IFERROR(INDEX('Comment flow'!$C$40:$C$46,MATCH(I129,'Comment flow'!$A$40:$A$46,0)),""))</f>
        <v/>
      </c>
      <c r="N129" s="46" t="str">
        <f aca="false">IF(B129="","",IF(OR(I129="",I129="Open: needs a decision",L129=""),"Open","Closed"))</f>
        <v/>
      </c>
      <c r="O129" s="46"/>
      <c r="P129" s="46" t="str">
        <f aca="false">IF(OR(B129="",I129&lt;&gt;"Save for a later revision"),"",IF(COUNTIF('Deferred edits'!$K$2:$K$201,A129)&gt;0,"Yes","● Add to Deferred edits"))</f>
        <v/>
      </c>
    </row>
    <row r="130" customFormat="false" ht="15" hidden="false" customHeight="false" outlineLevel="0" collapsed="false">
      <c r="A130" s="46" t="s">
        <v>425</v>
      </c>
      <c r="B130" s="46"/>
      <c r="C130" s="46"/>
      <c r="D130" s="46"/>
      <c r="E130" s="46"/>
      <c r="F130" s="46"/>
      <c r="G130" s="46"/>
      <c r="H130" s="46"/>
      <c r="I130" s="46"/>
      <c r="J130" s="46"/>
      <c r="K130" s="46"/>
      <c r="L130" s="46"/>
      <c r="M130" s="46" t="str">
        <f aca="false">IF(OR(B130="",I130=""),"",IFERROR(INDEX('Comment flow'!$C$40:$C$46,MATCH(I130,'Comment flow'!$A$40:$A$46,0)),""))</f>
        <v/>
      </c>
      <c r="N130" s="46" t="str">
        <f aca="false">IF(B130="","",IF(OR(I130="",I130="Open: needs a decision",L130=""),"Open","Closed"))</f>
        <v/>
      </c>
      <c r="O130" s="46"/>
      <c r="P130" s="46" t="str">
        <f aca="false">IF(OR(B130="",I130&lt;&gt;"Save for a later revision"),"",IF(COUNTIF('Deferred edits'!$K$2:$K$201,A130)&gt;0,"Yes","● Add to Deferred edits"))</f>
        <v/>
      </c>
    </row>
    <row r="131" customFormat="false" ht="15" hidden="false" customHeight="false" outlineLevel="0" collapsed="false">
      <c r="A131" s="46" t="s">
        <v>426</v>
      </c>
      <c r="B131" s="46"/>
      <c r="C131" s="46"/>
      <c r="D131" s="46"/>
      <c r="E131" s="46"/>
      <c r="F131" s="46"/>
      <c r="G131" s="46"/>
      <c r="H131" s="46"/>
      <c r="I131" s="46"/>
      <c r="J131" s="46"/>
      <c r="K131" s="46"/>
      <c r="L131" s="46"/>
      <c r="M131" s="46" t="str">
        <f aca="false">IF(OR(B131="",I131=""),"",IFERROR(INDEX('Comment flow'!$C$40:$C$46,MATCH(I131,'Comment flow'!$A$40:$A$46,0)),""))</f>
        <v/>
      </c>
      <c r="N131" s="46" t="str">
        <f aca="false">IF(B131="","",IF(OR(I131="",I131="Open: needs a decision",L131=""),"Open","Closed"))</f>
        <v/>
      </c>
      <c r="O131" s="46"/>
      <c r="P131" s="46" t="str">
        <f aca="false">IF(OR(B131="",I131&lt;&gt;"Save for a later revision"),"",IF(COUNTIF('Deferred edits'!$K$2:$K$201,A131)&gt;0,"Yes","● Add to Deferred edits"))</f>
        <v/>
      </c>
    </row>
    <row r="132" customFormat="false" ht="15" hidden="false" customHeight="false" outlineLevel="0" collapsed="false">
      <c r="A132" s="46" t="s">
        <v>427</v>
      </c>
      <c r="B132" s="46"/>
      <c r="C132" s="46"/>
      <c r="D132" s="46"/>
      <c r="E132" s="46"/>
      <c r="F132" s="46"/>
      <c r="G132" s="46"/>
      <c r="H132" s="46"/>
      <c r="I132" s="46"/>
      <c r="J132" s="46"/>
      <c r="K132" s="46"/>
      <c r="L132" s="46"/>
      <c r="M132" s="46" t="str">
        <f aca="false">IF(OR(B132="",I132=""),"",IFERROR(INDEX('Comment flow'!$C$40:$C$46,MATCH(I132,'Comment flow'!$A$40:$A$46,0)),""))</f>
        <v/>
      </c>
      <c r="N132" s="46" t="str">
        <f aca="false">IF(B132="","",IF(OR(I132="",I132="Open: needs a decision",L132=""),"Open","Closed"))</f>
        <v/>
      </c>
      <c r="O132" s="46"/>
      <c r="P132" s="46" t="str">
        <f aca="false">IF(OR(B132="",I132&lt;&gt;"Save for a later revision"),"",IF(COUNTIF('Deferred edits'!$K$2:$K$201,A132)&gt;0,"Yes","● Add to Deferred edits"))</f>
        <v/>
      </c>
    </row>
    <row r="133" customFormat="false" ht="15" hidden="false" customHeight="false" outlineLevel="0" collapsed="false">
      <c r="A133" s="46" t="s">
        <v>428</v>
      </c>
      <c r="B133" s="46"/>
      <c r="C133" s="46"/>
      <c r="D133" s="46"/>
      <c r="E133" s="46"/>
      <c r="F133" s="46"/>
      <c r="G133" s="46"/>
      <c r="H133" s="46"/>
      <c r="I133" s="46"/>
      <c r="J133" s="46"/>
      <c r="K133" s="46"/>
      <c r="L133" s="46"/>
      <c r="M133" s="46" t="str">
        <f aca="false">IF(OR(B133="",I133=""),"",IFERROR(INDEX('Comment flow'!$C$40:$C$46,MATCH(I133,'Comment flow'!$A$40:$A$46,0)),""))</f>
        <v/>
      </c>
      <c r="N133" s="46" t="str">
        <f aca="false">IF(B133="","",IF(OR(I133="",I133="Open: needs a decision",L133=""),"Open","Closed"))</f>
        <v/>
      </c>
      <c r="O133" s="46"/>
      <c r="P133" s="46" t="str">
        <f aca="false">IF(OR(B133="",I133&lt;&gt;"Save for a later revision"),"",IF(COUNTIF('Deferred edits'!$K$2:$K$201,A133)&gt;0,"Yes","● Add to Deferred edits"))</f>
        <v/>
      </c>
    </row>
    <row r="134" customFormat="false" ht="15" hidden="false" customHeight="false" outlineLevel="0" collapsed="false">
      <c r="A134" s="46" t="s">
        <v>429</v>
      </c>
      <c r="B134" s="46"/>
      <c r="C134" s="46"/>
      <c r="D134" s="46"/>
      <c r="E134" s="46"/>
      <c r="F134" s="46"/>
      <c r="G134" s="46"/>
      <c r="H134" s="46"/>
      <c r="I134" s="46"/>
      <c r="J134" s="46"/>
      <c r="K134" s="46"/>
      <c r="L134" s="46"/>
      <c r="M134" s="46" t="str">
        <f aca="false">IF(OR(B134="",I134=""),"",IFERROR(INDEX('Comment flow'!$C$40:$C$46,MATCH(I134,'Comment flow'!$A$40:$A$46,0)),""))</f>
        <v/>
      </c>
      <c r="N134" s="46" t="str">
        <f aca="false">IF(B134="","",IF(OR(I134="",I134="Open: needs a decision",L134=""),"Open","Closed"))</f>
        <v/>
      </c>
      <c r="O134" s="46"/>
      <c r="P134" s="46" t="str">
        <f aca="false">IF(OR(B134="",I134&lt;&gt;"Save for a later revision"),"",IF(COUNTIF('Deferred edits'!$K$2:$K$201,A134)&gt;0,"Yes","● Add to Deferred edits"))</f>
        <v/>
      </c>
    </row>
    <row r="135" customFormat="false" ht="15" hidden="false" customHeight="false" outlineLevel="0" collapsed="false">
      <c r="A135" s="46" t="s">
        <v>430</v>
      </c>
      <c r="B135" s="46"/>
      <c r="C135" s="46"/>
      <c r="D135" s="46"/>
      <c r="E135" s="46"/>
      <c r="F135" s="46"/>
      <c r="G135" s="46"/>
      <c r="H135" s="46"/>
      <c r="I135" s="46"/>
      <c r="J135" s="46"/>
      <c r="K135" s="46"/>
      <c r="L135" s="46"/>
      <c r="M135" s="46" t="str">
        <f aca="false">IF(OR(B135="",I135=""),"",IFERROR(INDEX('Comment flow'!$C$40:$C$46,MATCH(I135,'Comment flow'!$A$40:$A$46,0)),""))</f>
        <v/>
      </c>
      <c r="N135" s="46" t="str">
        <f aca="false">IF(B135="","",IF(OR(I135="",I135="Open: needs a decision",L135=""),"Open","Closed"))</f>
        <v/>
      </c>
      <c r="O135" s="46"/>
      <c r="P135" s="46" t="str">
        <f aca="false">IF(OR(B135="",I135&lt;&gt;"Save for a later revision"),"",IF(COUNTIF('Deferred edits'!$K$2:$K$201,A135)&gt;0,"Yes","● Add to Deferred edits"))</f>
        <v/>
      </c>
    </row>
    <row r="136" customFormat="false" ht="15" hidden="false" customHeight="false" outlineLevel="0" collapsed="false">
      <c r="A136" s="46" t="s">
        <v>431</v>
      </c>
      <c r="B136" s="46"/>
      <c r="C136" s="46"/>
      <c r="D136" s="46"/>
      <c r="E136" s="46"/>
      <c r="F136" s="46"/>
      <c r="G136" s="46"/>
      <c r="H136" s="46"/>
      <c r="I136" s="46"/>
      <c r="J136" s="46"/>
      <c r="K136" s="46"/>
      <c r="L136" s="46"/>
      <c r="M136" s="46" t="str">
        <f aca="false">IF(OR(B136="",I136=""),"",IFERROR(INDEX('Comment flow'!$C$40:$C$46,MATCH(I136,'Comment flow'!$A$40:$A$46,0)),""))</f>
        <v/>
      </c>
      <c r="N136" s="46" t="str">
        <f aca="false">IF(B136="","",IF(OR(I136="",I136="Open: needs a decision",L136=""),"Open","Closed"))</f>
        <v/>
      </c>
      <c r="O136" s="46"/>
      <c r="P136" s="46" t="str">
        <f aca="false">IF(OR(B136="",I136&lt;&gt;"Save for a later revision"),"",IF(COUNTIF('Deferred edits'!$K$2:$K$201,A136)&gt;0,"Yes","● Add to Deferred edits"))</f>
        <v/>
      </c>
    </row>
    <row r="137" customFormat="false" ht="15" hidden="false" customHeight="false" outlineLevel="0" collapsed="false">
      <c r="A137" s="46" t="s">
        <v>432</v>
      </c>
      <c r="B137" s="46"/>
      <c r="C137" s="46"/>
      <c r="D137" s="46"/>
      <c r="E137" s="46"/>
      <c r="F137" s="46"/>
      <c r="G137" s="46"/>
      <c r="H137" s="46"/>
      <c r="I137" s="46"/>
      <c r="J137" s="46"/>
      <c r="K137" s="46"/>
      <c r="L137" s="46"/>
      <c r="M137" s="46" t="str">
        <f aca="false">IF(OR(B137="",I137=""),"",IFERROR(INDEX('Comment flow'!$C$40:$C$46,MATCH(I137,'Comment flow'!$A$40:$A$46,0)),""))</f>
        <v/>
      </c>
      <c r="N137" s="46" t="str">
        <f aca="false">IF(B137="","",IF(OR(I137="",I137="Open: needs a decision",L137=""),"Open","Closed"))</f>
        <v/>
      </c>
      <c r="O137" s="46"/>
      <c r="P137" s="46" t="str">
        <f aca="false">IF(OR(B137="",I137&lt;&gt;"Save for a later revision"),"",IF(COUNTIF('Deferred edits'!$K$2:$K$201,A137)&gt;0,"Yes","● Add to Deferred edits"))</f>
        <v/>
      </c>
    </row>
    <row r="138" customFormat="false" ht="15" hidden="false" customHeight="false" outlineLevel="0" collapsed="false">
      <c r="A138" s="46" t="s">
        <v>433</v>
      </c>
      <c r="B138" s="46"/>
      <c r="C138" s="46"/>
      <c r="D138" s="46"/>
      <c r="E138" s="46"/>
      <c r="F138" s="46"/>
      <c r="G138" s="46"/>
      <c r="H138" s="46"/>
      <c r="I138" s="46"/>
      <c r="J138" s="46"/>
      <c r="K138" s="46"/>
      <c r="L138" s="46"/>
      <c r="M138" s="46" t="str">
        <f aca="false">IF(OR(B138="",I138=""),"",IFERROR(INDEX('Comment flow'!$C$40:$C$46,MATCH(I138,'Comment flow'!$A$40:$A$46,0)),""))</f>
        <v/>
      </c>
      <c r="N138" s="46" t="str">
        <f aca="false">IF(B138="","",IF(OR(I138="",I138="Open: needs a decision",L138=""),"Open","Closed"))</f>
        <v/>
      </c>
      <c r="O138" s="46"/>
      <c r="P138" s="46" t="str">
        <f aca="false">IF(OR(B138="",I138&lt;&gt;"Save for a later revision"),"",IF(COUNTIF('Deferred edits'!$K$2:$K$201,A138)&gt;0,"Yes","● Add to Deferred edits"))</f>
        <v/>
      </c>
    </row>
    <row r="139" customFormat="false" ht="15" hidden="false" customHeight="false" outlineLevel="0" collapsed="false">
      <c r="A139" s="46" t="s">
        <v>434</v>
      </c>
      <c r="B139" s="46"/>
      <c r="C139" s="46"/>
      <c r="D139" s="46"/>
      <c r="E139" s="46"/>
      <c r="F139" s="46"/>
      <c r="G139" s="46"/>
      <c r="H139" s="46"/>
      <c r="I139" s="46"/>
      <c r="J139" s="46"/>
      <c r="K139" s="46"/>
      <c r="L139" s="46"/>
      <c r="M139" s="46" t="str">
        <f aca="false">IF(OR(B139="",I139=""),"",IFERROR(INDEX('Comment flow'!$C$40:$C$46,MATCH(I139,'Comment flow'!$A$40:$A$46,0)),""))</f>
        <v/>
      </c>
      <c r="N139" s="46" t="str">
        <f aca="false">IF(B139="","",IF(OR(I139="",I139="Open: needs a decision",L139=""),"Open","Closed"))</f>
        <v/>
      </c>
      <c r="O139" s="46"/>
      <c r="P139" s="46" t="str">
        <f aca="false">IF(OR(B139="",I139&lt;&gt;"Save for a later revision"),"",IF(COUNTIF('Deferred edits'!$K$2:$K$201,A139)&gt;0,"Yes","● Add to Deferred edits"))</f>
        <v/>
      </c>
    </row>
    <row r="140" customFormat="false" ht="15" hidden="false" customHeight="false" outlineLevel="0" collapsed="false">
      <c r="A140" s="46" t="s">
        <v>435</v>
      </c>
      <c r="B140" s="46"/>
      <c r="C140" s="46"/>
      <c r="D140" s="46"/>
      <c r="E140" s="46"/>
      <c r="F140" s="46"/>
      <c r="G140" s="46"/>
      <c r="H140" s="46"/>
      <c r="I140" s="46"/>
      <c r="J140" s="46"/>
      <c r="K140" s="46"/>
      <c r="L140" s="46"/>
      <c r="M140" s="46" t="str">
        <f aca="false">IF(OR(B140="",I140=""),"",IFERROR(INDEX('Comment flow'!$C$40:$C$46,MATCH(I140,'Comment flow'!$A$40:$A$46,0)),""))</f>
        <v/>
      </c>
      <c r="N140" s="46" t="str">
        <f aca="false">IF(B140="","",IF(OR(I140="",I140="Open: needs a decision",L140=""),"Open","Closed"))</f>
        <v/>
      </c>
      <c r="O140" s="46"/>
      <c r="P140" s="46" t="str">
        <f aca="false">IF(OR(B140="",I140&lt;&gt;"Save for a later revision"),"",IF(COUNTIF('Deferred edits'!$K$2:$K$201,A140)&gt;0,"Yes","● Add to Deferred edits"))</f>
        <v/>
      </c>
    </row>
    <row r="141" customFormat="false" ht="15" hidden="false" customHeight="false" outlineLevel="0" collapsed="false">
      <c r="A141" s="46" t="s">
        <v>436</v>
      </c>
      <c r="B141" s="46"/>
      <c r="C141" s="46"/>
      <c r="D141" s="46"/>
      <c r="E141" s="46"/>
      <c r="F141" s="46"/>
      <c r="G141" s="46"/>
      <c r="H141" s="46"/>
      <c r="I141" s="46"/>
      <c r="J141" s="46"/>
      <c r="K141" s="46"/>
      <c r="L141" s="46"/>
      <c r="M141" s="46" t="str">
        <f aca="false">IF(OR(B141="",I141=""),"",IFERROR(INDEX('Comment flow'!$C$40:$C$46,MATCH(I141,'Comment flow'!$A$40:$A$46,0)),""))</f>
        <v/>
      </c>
      <c r="N141" s="46" t="str">
        <f aca="false">IF(B141="","",IF(OR(I141="",I141="Open: needs a decision",L141=""),"Open","Closed"))</f>
        <v/>
      </c>
      <c r="O141" s="46"/>
      <c r="P141" s="46" t="str">
        <f aca="false">IF(OR(B141="",I141&lt;&gt;"Save for a later revision"),"",IF(COUNTIF('Deferred edits'!$K$2:$K$201,A141)&gt;0,"Yes","● Add to Deferred edits"))</f>
        <v/>
      </c>
    </row>
    <row r="142" customFormat="false" ht="15" hidden="false" customHeight="false" outlineLevel="0" collapsed="false">
      <c r="A142" s="46" t="s">
        <v>437</v>
      </c>
      <c r="B142" s="46"/>
      <c r="C142" s="46"/>
      <c r="D142" s="46"/>
      <c r="E142" s="46"/>
      <c r="F142" s="46"/>
      <c r="G142" s="46"/>
      <c r="H142" s="46"/>
      <c r="I142" s="46"/>
      <c r="J142" s="46"/>
      <c r="K142" s="46"/>
      <c r="L142" s="46"/>
      <c r="M142" s="46" t="str">
        <f aca="false">IF(OR(B142="",I142=""),"",IFERROR(INDEX('Comment flow'!$C$40:$C$46,MATCH(I142,'Comment flow'!$A$40:$A$46,0)),""))</f>
        <v/>
      </c>
      <c r="N142" s="46" t="str">
        <f aca="false">IF(B142="","",IF(OR(I142="",I142="Open: needs a decision",L142=""),"Open","Closed"))</f>
        <v/>
      </c>
      <c r="O142" s="46"/>
      <c r="P142" s="46" t="str">
        <f aca="false">IF(OR(B142="",I142&lt;&gt;"Save for a later revision"),"",IF(COUNTIF('Deferred edits'!$K$2:$K$201,A142)&gt;0,"Yes","● Add to Deferred edits"))</f>
        <v/>
      </c>
    </row>
    <row r="143" customFormat="false" ht="15" hidden="false" customHeight="false" outlineLevel="0" collapsed="false">
      <c r="A143" s="46" t="s">
        <v>438</v>
      </c>
      <c r="B143" s="46"/>
      <c r="C143" s="46"/>
      <c r="D143" s="46"/>
      <c r="E143" s="46"/>
      <c r="F143" s="46"/>
      <c r="G143" s="46"/>
      <c r="H143" s="46"/>
      <c r="I143" s="46"/>
      <c r="J143" s="46"/>
      <c r="K143" s="46"/>
      <c r="L143" s="46"/>
      <c r="M143" s="46" t="str">
        <f aca="false">IF(OR(B143="",I143=""),"",IFERROR(INDEX('Comment flow'!$C$40:$C$46,MATCH(I143,'Comment flow'!$A$40:$A$46,0)),""))</f>
        <v/>
      </c>
      <c r="N143" s="46" t="str">
        <f aca="false">IF(B143="","",IF(OR(I143="",I143="Open: needs a decision",L143=""),"Open","Closed"))</f>
        <v/>
      </c>
      <c r="O143" s="46"/>
      <c r="P143" s="46" t="str">
        <f aca="false">IF(OR(B143="",I143&lt;&gt;"Save for a later revision"),"",IF(COUNTIF('Deferred edits'!$K$2:$K$201,A143)&gt;0,"Yes","● Add to Deferred edits"))</f>
        <v/>
      </c>
    </row>
    <row r="144" customFormat="false" ht="15" hidden="false" customHeight="false" outlineLevel="0" collapsed="false">
      <c r="A144" s="46" t="s">
        <v>439</v>
      </c>
      <c r="B144" s="46"/>
      <c r="C144" s="46"/>
      <c r="D144" s="46"/>
      <c r="E144" s="46"/>
      <c r="F144" s="46"/>
      <c r="G144" s="46"/>
      <c r="H144" s="46"/>
      <c r="I144" s="46"/>
      <c r="J144" s="46"/>
      <c r="K144" s="46"/>
      <c r="L144" s="46"/>
      <c r="M144" s="46" t="str">
        <f aca="false">IF(OR(B144="",I144=""),"",IFERROR(INDEX('Comment flow'!$C$40:$C$46,MATCH(I144,'Comment flow'!$A$40:$A$46,0)),""))</f>
        <v/>
      </c>
      <c r="N144" s="46" t="str">
        <f aca="false">IF(B144="","",IF(OR(I144="",I144="Open: needs a decision",L144=""),"Open","Closed"))</f>
        <v/>
      </c>
      <c r="O144" s="46"/>
      <c r="P144" s="46" t="str">
        <f aca="false">IF(OR(B144="",I144&lt;&gt;"Save for a later revision"),"",IF(COUNTIF('Deferred edits'!$K$2:$K$201,A144)&gt;0,"Yes","● Add to Deferred edits"))</f>
        <v/>
      </c>
    </row>
    <row r="145" customFormat="false" ht="15" hidden="false" customHeight="false" outlineLevel="0" collapsed="false">
      <c r="A145" s="46" t="s">
        <v>440</v>
      </c>
      <c r="B145" s="46"/>
      <c r="C145" s="46"/>
      <c r="D145" s="46"/>
      <c r="E145" s="46"/>
      <c r="F145" s="46"/>
      <c r="G145" s="46"/>
      <c r="H145" s="46"/>
      <c r="I145" s="46"/>
      <c r="J145" s="46"/>
      <c r="K145" s="46"/>
      <c r="L145" s="46"/>
      <c r="M145" s="46" t="str">
        <f aca="false">IF(OR(B145="",I145=""),"",IFERROR(INDEX('Comment flow'!$C$40:$C$46,MATCH(I145,'Comment flow'!$A$40:$A$46,0)),""))</f>
        <v/>
      </c>
      <c r="N145" s="46" t="str">
        <f aca="false">IF(B145="","",IF(OR(I145="",I145="Open: needs a decision",L145=""),"Open","Closed"))</f>
        <v/>
      </c>
      <c r="O145" s="46"/>
      <c r="P145" s="46" t="str">
        <f aca="false">IF(OR(B145="",I145&lt;&gt;"Save for a later revision"),"",IF(COUNTIF('Deferred edits'!$K$2:$K$201,A145)&gt;0,"Yes","● Add to Deferred edits"))</f>
        <v/>
      </c>
    </row>
    <row r="146" customFormat="false" ht="15" hidden="false" customHeight="false" outlineLevel="0" collapsed="false">
      <c r="A146" s="46" t="s">
        <v>441</v>
      </c>
      <c r="B146" s="46"/>
      <c r="C146" s="46"/>
      <c r="D146" s="46"/>
      <c r="E146" s="46"/>
      <c r="F146" s="46"/>
      <c r="G146" s="46"/>
      <c r="H146" s="46"/>
      <c r="I146" s="46"/>
      <c r="J146" s="46"/>
      <c r="K146" s="46"/>
      <c r="L146" s="46"/>
      <c r="M146" s="46" t="str">
        <f aca="false">IF(OR(B146="",I146=""),"",IFERROR(INDEX('Comment flow'!$C$40:$C$46,MATCH(I146,'Comment flow'!$A$40:$A$46,0)),""))</f>
        <v/>
      </c>
      <c r="N146" s="46" t="str">
        <f aca="false">IF(B146="","",IF(OR(I146="",I146="Open: needs a decision",L146=""),"Open","Closed"))</f>
        <v/>
      </c>
      <c r="O146" s="46"/>
      <c r="P146" s="46" t="str">
        <f aca="false">IF(OR(B146="",I146&lt;&gt;"Save for a later revision"),"",IF(COUNTIF('Deferred edits'!$K$2:$K$201,A146)&gt;0,"Yes","● Add to Deferred edits"))</f>
        <v/>
      </c>
    </row>
    <row r="147" customFormat="false" ht="15" hidden="false" customHeight="false" outlineLevel="0" collapsed="false">
      <c r="A147" s="46" t="s">
        <v>442</v>
      </c>
      <c r="B147" s="46"/>
      <c r="C147" s="46"/>
      <c r="D147" s="46"/>
      <c r="E147" s="46"/>
      <c r="F147" s="46"/>
      <c r="G147" s="46"/>
      <c r="H147" s="46"/>
      <c r="I147" s="46"/>
      <c r="J147" s="46"/>
      <c r="K147" s="46"/>
      <c r="L147" s="46"/>
      <c r="M147" s="46" t="str">
        <f aca="false">IF(OR(B147="",I147=""),"",IFERROR(INDEX('Comment flow'!$C$40:$C$46,MATCH(I147,'Comment flow'!$A$40:$A$46,0)),""))</f>
        <v/>
      </c>
      <c r="N147" s="46" t="str">
        <f aca="false">IF(B147="","",IF(OR(I147="",I147="Open: needs a decision",L147=""),"Open","Closed"))</f>
        <v/>
      </c>
      <c r="O147" s="46"/>
      <c r="P147" s="46" t="str">
        <f aca="false">IF(OR(B147="",I147&lt;&gt;"Save for a later revision"),"",IF(COUNTIF('Deferred edits'!$K$2:$K$201,A147)&gt;0,"Yes","● Add to Deferred edits"))</f>
        <v/>
      </c>
    </row>
    <row r="148" customFormat="false" ht="15" hidden="false" customHeight="false" outlineLevel="0" collapsed="false">
      <c r="A148" s="46" t="s">
        <v>443</v>
      </c>
      <c r="B148" s="46"/>
      <c r="C148" s="46"/>
      <c r="D148" s="46"/>
      <c r="E148" s="46"/>
      <c r="F148" s="46"/>
      <c r="G148" s="46"/>
      <c r="H148" s="46"/>
      <c r="I148" s="46"/>
      <c r="J148" s="46"/>
      <c r="K148" s="46"/>
      <c r="L148" s="46"/>
      <c r="M148" s="46" t="str">
        <f aca="false">IF(OR(B148="",I148=""),"",IFERROR(INDEX('Comment flow'!$C$40:$C$46,MATCH(I148,'Comment flow'!$A$40:$A$46,0)),""))</f>
        <v/>
      </c>
      <c r="N148" s="46" t="str">
        <f aca="false">IF(B148="","",IF(OR(I148="",I148="Open: needs a decision",L148=""),"Open","Closed"))</f>
        <v/>
      </c>
      <c r="O148" s="46"/>
      <c r="P148" s="46" t="str">
        <f aca="false">IF(OR(B148="",I148&lt;&gt;"Save for a later revision"),"",IF(COUNTIF('Deferred edits'!$K$2:$K$201,A148)&gt;0,"Yes","● Add to Deferred edits"))</f>
        <v/>
      </c>
    </row>
    <row r="149" customFormat="false" ht="15" hidden="false" customHeight="false" outlineLevel="0" collapsed="false">
      <c r="A149" s="46" t="s">
        <v>444</v>
      </c>
      <c r="B149" s="46"/>
      <c r="C149" s="46"/>
      <c r="D149" s="46"/>
      <c r="E149" s="46"/>
      <c r="F149" s="46"/>
      <c r="G149" s="46"/>
      <c r="H149" s="46"/>
      <c r="I149" s="46"/>
      <c r="J149" s="46"/>
      <c r="K149" s="46"/>
      <c r="L149" s="46"/>
      <c r="M149" s="46" t="str">
        <f aca="false">IF(OR(B149="",I149=""),"",IFERROR(INDEX('Comment flow'!$C$40:$C$46,MATCH(I149,'Comment flow'!$A$40:$A$46,0)),""))</f>
        <v/>
      </c>
      <c r="N149" s="46" t="str">
        <f aca="false">IF(B149="","",IF(OR(I149="",I149="Open: needs a decision",L149=""),"Open","Closed"))</f>
        <v/>
      </c>
      <c r="O149" s="46"/>
      <c r="P149" s="46" t="str">
        <f aca="false">IF(OR(B149="",I149&lt;&gt;"Save for a later revision"),"",IF(COUNTIF('Deferred edits'!$K$2:$K$201,A149)&gt;0,"Yes","● Add to Deferred edits"))</f>
        <v/>
      </c>
    </row>
    <row r="150" customFormat="false" ht="15" hidden="false" customHeight="false" outlineLevel="0" collapsed="false">
      <c r="A150" s="46" t="s">
        <v>445</v>
      </c>
      <c r="B150" s="46"/>
      <c r="C150" s="46"/>
      <c r="D150" s="46"/>
      <c r="E150" s="46"/>
      <c r="F150" s="46"/>
      <c r="G150" s="46"/>
      <c r="H150" s="46"/>
      <c r="I150" s="46"/>
      <c r="J150" s="46"/>
      <c r="K150" s="46"/>
      <c r="L150" s="46"/>
      <c r="M150" s="46" t="str">
        <f aca="false">IF(OR(B150="",I150=""),"",IFERROR(INDEX('Comment flow'!$C$40:$C$46,MATCH(I150,'Comment flow'!$A$40:$A$46,0)),""))</f>
        <v/>
      </c>
      <c r="N150" s="46" t="str">
        <f aca="false">IF(B150="","",IF(OR(I150="",I150="Open: needs a decision",L150=""),"Open","Closed"))</f>
        <v/>
      </c>
      <c r="O150" s="46"/>
      <c r="P150" s="46" t="str">
        <f aca="false">IF(OR(B150="",I150&lt;&gt;"Save for a later revision"),"",IF(COUNTIF('Deferred edits'!$K$2:$K$201,A150)&gt;0,"Yes","● Add to Deferred edits"))</f>
        <v/>
      </c>
    </row>
    <row r="151" customFormat="false" ht="15" hidden="false" customHeight="false" outlineLevel="0" collapsed="false">
      <c r="A151" s="46" t="s">
        <v>446</v>
      </c>
      <c r="B151" s="46"/>
      <c r="C151" s="46"/>
      <c r="D151" s="46"/>
      <c r="E151" s="46"/>
      <c r="F151" s="46"/>
      <c r="G151" s="46"/>
      <c r="H151" s="46"/>
      <c r="I151" s="46"/>
      <c r="J151" s="46"/>
      <c r="K151" s="46"/>
      <c r="L151" s="46"/>
      <c r="M151" s="46" t="str">
        <f aca="false">IF(OR(B151="",I151=""),"",IFERROR(INDEX('Comment flow'!$C$40:$C$46,MATCH(I151,'Comment flow'!$A$40:$A$46,0)),""))</f>
        <v/>
      </c>
      <c r="N151" s="46" t="str">
        <f aca="false">IF(B151="","",IF(OR(I151="",I151="Open: needs a decision",L151=""),"Open","Closed"))</f>
        <v/>
      </c>
      <c r="O151" s="46"/>
      <c r="P151" s="46" t="str">
        <f aca="false">IF(OR(B151="",I151&lt;&gt;"Save for a later revision"),"",IF(COUNTIF('Deferred edits'!$K$2:$K$201,A151)&gt;0,"Yes","● Add to Deferred edits"))</f>
        <v/>
      </c>
    </row>
    <row r="152" customFormat="false" ht="15" hidden="false" customHeight="false" outlineLevel="0" collapsed="false">
      <c r="A152" s="46" t="s">
        <v>447</v>
      </c>
      <c r="B152" s="46"/>
      <c r="C152" s="46"/>
      <c r="D152" s="46"/>
      <c r="E152" s="46"/>
      <c r="F152" s="46"/>
      <c r="G152" s="46"/>
      <c r="H152" s="46"/>
      <c r="I152" s="46"/>
      <c r="J152" s="46"/>
      <c r="K152" s="46"/>
      <c r="L152" s="46"/>
      <c r="M152" s="46" t="str">
        <f aca="false">IF(OR(B152="",I152=""),"",IFERROR(INDEX('Comment flow'!$C$40:$C$46,MATCH(I152,'Comment flow'!$A$40:$A$46,0)),""))</f>
        <v/>
      </c>
      <c r="N152" s="46" t="str">
        <f aca="false">IF(B152="","",IF(OR(I152="",I152="Open: needs a decision",L152=""),"Open","Closed"))</f>
        <v/>
      </c>
      <c r="O152" s="46"/>
      <c r="P152" s="46" t="str">
        <f aca="false">IF(OR(B152="",I152&lt;&gt;"Save for a later revision"),"",IF(COUNTIF('Deferred edits'!$K$2:$K$201,A152)&gt;0,"Yes","● Add to Deferred edits"))</f>
        <v/>
      </c>
    </row>
    <row r="153" customFormat="false" ht="15" hidden="false" customHeight="false" outlineLevel="0" collapsed="false">
      <c r="A153" s="46" t="s">
        <v>448</v>
      </c>
      <c r="B153" s="46"/>
      <c r="C153" s="46"/>
      <c r="D153" s="46"/>
      <c r="E153" s="46"/>
      <c r="F153" s="46"/>
      <c r="G153" s="46"/>
      <c r="H153" s="46"/>
      <c r="I153" s="46"/>
      <c r="J153" s="46"/>
      <c r="K153" s="46"/>
      <c r="L153" s="46"/>
      <c r="M153" s="46" t="str">
        <f aca="false">IF(OR(B153="",I153=""),"",IFERROR(INDEX('Comment flow'!$C$40:$C$46,MATCH(I153,'Comment flow'!$A$40:$A$46,0)),""))</f>
        <v/>
      </c>
      <c r="N153" s="46" t="str">
        <f aca="false">IF(B153="","",IF(OR(I153="",I153="Open: needs a decision",L153=""),"Open","Closed"))</f>
        <v/>
      </c>
      <c r="O153" s="46"/>
      <c r="P153" s="46" t="str">
        <f aca="false">IF(OR(B153="",I153&lt;&gt;"Save for a later revision"),"",IF(COUNTIF('Deferred edits'!$K$2:$K$201,A153)&gt;0,"Yes","● Add to Deferred edits"))</f>
        <v/>
      </c>
    </row>
    <row r="154" customFormat="false" ht="15" hidden="false" customHeight="false" outlineLevel="0" collapsed="false">
      <c r="A154" s="46" t="s">
        <v>449</v>
      </c>
      <c r="B154" s="46"/>
      <c r="C154" s="46"/>
      <c r="D154" s="46"/>
      <c r="E154" s="46"/>
      <c r="F154" s="46"/>
      <c r="G154" s="46"/>
      <c r="H154" s="46"/>
      <c r="I154" s="46"/>
      <c r="J154" s="46"/>
      <c r="K154" s="46"/>
      <c r="L154" s="46"/>
      <c r="M154" s="46" t="str">
        <f aca="false">IF(OR(B154="",I154=""),"",IFERROR(INDEX('Comment flow'!$C$40:$C$46,MATCH(I154,'Comment flow'!$A$40:$A$46,0)),""))</f>
        <v/>
      </c>
      <c r="N154" s="46" t="str">
        <f aca="false">IF(B154="","",IF(OR(I154="",I154="Open: needs a decision",L154=""),"Open","Closed"))</f>
        <v/>
      </c>
      <c r="O154" s="46"/>
      <c r="P154" s="46" t="str">
        <f aca="false">IF(OR(B154="",I154&lt;&gt;"Save for a later revision"),"",IF(COUNTIF('Deferred edits'!$K$2:$K$201,A154)&gt;0,"Yes","● Add to Deferred edits"))</f>
        <v/>
      </c>
    </row>
    <row r="155" customFormat="false" ht="15" hidden="false" customHeight="false" outlineLevel="0" collapsed="false">
      <c r="A155" s="46" t="s">
        <v>450</v>
      </c>
      <c r="B155" s="46"/>
      <c r="C155" s="46"/>
      <c r="D155" s="46"/>
      <c r="E155" s="46"/>
      <c r="F155" s="46"/>
      <c r="G155" s="46"/>
      <c r="H155" s="46"/>
      <c r="I155" s="46"/>
      <c r="J155" s="46"/>
      <c r="K155" s="46"/>
      <c r="L155" s="46"/>
      <c r="M155" s="46" t="str">
        <f aca="false">IF(OR(B155="",I155=""),"",IFERROR(INDEX('Comment flow'!$C$40:$C$46,MATCH(I155,'Comment flow'!$A$40:$A$46,0)),""))</f>
        <v/>
      </c>
      <c r="N155" s="46" t="str">
        <f aca="false">IF(B155="","",IF(OR(I155="",I155="Open: needs a decision",L155=""),"Open","Closed"))</f>
        <v/>
      </c>
      <c r="O155" s="46"/>
      <c r="P155" s="46" t="str">
        <f aca="false">IF(OR(B155="",I155&lt;&gt;"Save for a later revision"),"",IF(COUNTIF('Deferred edits'!$K$2:$K$201,A155)&gt;0,"Yes","● Add to Deferred edits"))</f>
        <v/>
      </c>
    </row>
    <row r="156" customFormat="false" ht="15" hidden="false" customHeight="false" outlineLevel="0" collapsed="false">
      <c r="A156" s="46" t="s">
        <v>451</v>
      </c>
      <c r="B156" s="46"/>
      <c r="C156" s="46"/>
      <c r="D156" s="46"/>
      <c r="E156" s="46"/>
      <c r="F156" s="46"/>
      <c r="G156" s="46"/>
      <c r="H156" s="46"/>
      <c r="I156" s="46"/>
      <c r="J156" s="46"/>
      <c r="K156" s="46"/>
      <c r="L156" s="46"/>
      <c r="M156" s="46" t="str">
        <f aca="false">IF(OR(B156="",I156=""),"",IFERROR(INDEX('Comment flow'!$C$40:$C$46,MATCH(I156,'Comment flow'!$A$40:$A$46,0)),""))</f>
        <v/>
      </c>
      <c r="N156" s="46" t="str">
        <f aca="false">IF(B156="","",IF(OR(I156="",I156="Open: needs a decision",L156=""),"Open","Closed"))</f>
        <v/>
      </c>
      <c r="O156" s="46"/>
      <c r="P156" s="46" t="str">
        <f aca="false">IF(OR(B156="",I156&lt;&gt;"Save for a later revision"),"",IF(COUNTIF('Deferred edits'!$K$2:$K$201,A156)&gt;0,"Yes","● Add to Deferred edits"))</f>
        <v/>
      </c>
    </row>
    <row r="157" customFormat="false" ht="15" hidden="false" customHeight="false" outlineLevel="0" collapsed="false">
      <c r="A157" s="46" t="s">
        <v>452</v>
      </c>
      <c r="B157" s="46"/>
      <c r="C157" s="46"/>
      <c r="D157" s="46"/>
      <c r="E157" s="46"/>
      <c r="F157" s="46"/>
      <c r="G157" s="46"/>
      <c r="H157" s="46"/>
      <c r="I157" s="46"/>
      <c r="J157" s="46"/>
      <c r="K157" s="46"/>
      <c r="L157" s="46"/>
      <c r="M157" s="46" t="str">
        <f aca="false">IF(OR(B157="",I157=""),"",IFERROR(INDEX('Comment flow'!$C$40:$C$46,MATCH(I157,'Comment flow'!$A$40:$A$46,0)),""))</f>
        <v/>
      </c>
      <c r="N157" s="46" t="str">
        <f aca="false">IF(B157="","",IF(OR(I157="",I157="Open: needs a decision",L157=""),"Open","Closed"))</f>
        <v/>
      </c>
      <c r="O157" s="46"/>
      <c r="P157" s="46" t="str">
        <f aca="false">IF(OR(B157="",I157&lt;&gt;"Save for a later revision"),"",IF(COUNTIF('Deferred edits'!$K$2:$K$201,A157)&gt;0,"Yes","● Add to Deferred edits"))</f>
        <v/>
      </c>
    </row>
    <row r="158" customFormat="false" ht="15" hidden="false" customHeight="false" outlineLevel="0" collapsed="false">
      <c r="A158" s="46" t="s">
        <v>453</v>
      </c>
      <c r="B158" s="46"/>
      <c r="C158" s="46"/>
      <c r="D158" s="46"/>
      <c r="E158" s="46"/>
      <c r="F158" s="46"/>
      <c r="G158" s="46"/>
      <c r="H158" s="46"/>
      <c r="I158" s="46"/>
      <c r="J158" s="46"/>
      <c r="K158" s="46"/>
      <c r="L158" s="46"/>
      <c r="M158" s="46" t="str">
        <f aca="false">IF(OR(B158="",I158=""),"",IFERROR(INDEX('Comment flow'!$C$40:$C$46,MATCH(I158,'Comment flow'!$A$40:$A$46,0)),""))</f>
        <v/>
      </c>
      <c r="N158" s="46" t="str">
        <f aca="false">IF(B158="","",IF(OR(I158="",I158="Open: needs a decision",L158=""),"Open","Closed"))</f>
        <v/>
      </c>
      <c r="O158" s="46"/>
      <c r="P158" s="46" t="str">
        <f aca="false">IF(OR(B158="",I158&lt;&gt;"Save for a later revision"),"",IF(COUNTIF('Deferred edits'!$K$2:$K$201,A158)&gt;0,"Yes","● Add to Deferred edits"))</f>
        <v/>
      </c>
    </row>
    <row r="159" customFormat="false" ht="15" hidden="false" customHeight="false" outlineLevel="0" collapsed="false">
      <c r="A159" s="46" t="s">
        <v>454</v>
      </c>
      <c r="B159" s="46"/>
      <c r="C159" s="46"/>
      <c r="D159" s="46"/>
      <c r="E159" s="46"/>
      <c r="F159" s="46"/>
      <c r="G159" s="46"/>
      <c r="H159" s="46"/>
      <c r="I159" s="46"/>
      <c r="J159" s="46"/>
      <c r="K159" s="46"/>
      <c r="L159" s="46"/>
      <c r="M159" s="46" t="str">
        <f aca="false">IF(OR(B159="",I159=""),"",IFERROR(INDEX('Comment flow'!$C$40:$C$46,MATCH(I159,'Comment flow'!$A$40:$A$46,0)),""))</f>
        <v/>
      </c>
      <c r="N159" s="46" t="str">
        <f aca="false">IF(B159="","",IF(OR(I159="",I159="Open: needs a decision",L159=""),"Open","Closed"))</f>
        <v/>
      </c>
      <c r="O159" s="46"/>
      <c r="P159" s="46" t="str">
        <f aca="false">IF(OR(B159="",I159&lt;&gt;"Save for a later revision"),"",IF(COUNTIF('Deferred edits'!$K$2:$K$201,A159)&gt;0,"Yes","● Add to Deferred edits"))</f>
        <v/>
      </c>
    </row>
    <row r="160" customFormat="false" ht="15" hidden="false" customHeight="false" outlineLevel="0" collapsed="false">
      <c r="A160" s="46" t="s">
        <v>455</v>
      </c>
      <c r="B160" s="46"/>
      <c r="C160" s="46"/>
      <c r="D160" s="46"/>
      <c r="E160" s="46"/>
      <c r="F160" s="46"/>
      <c r="G160" s="46"/>
      <c r="H160" s="46"/>
      <c r="I160" s="46"/>
      <c r="J160" s="46"/>
      <c r="K160" s="46"/>
      <c r="L160" s="46"/>
      <c r="M160" s="46" t="str">
        <f aca="false">IF(OR(B160="",I160=""),"",IFERROR(INDEX('Comment flow'!$C$40:$C$46,MATCH(I160,'Comment flow'!$A$40:$A$46,0)),""))</f>
        <v/>
      </c>
      <c r="N160" s="46" t="str">
        <f aca="false">IF(B160="","",IF(OR(I160="",I160="Open: needs a decision",L160=""),"Open","Closed"))</f>
        <v/>
      </c>
      <c r="O160" s="46"/>
      <c r="P160" s="46" t="str">
        <f aca="false">IF(OR(B160="",I160&lt;&gt;"Save for a later revision"),"",IF(COUNTIF('Deferred edits'!$K$2:$K$201,A160)&gt;0,"Yes","● Add to Deferred edits"))</f>
        <v/>
      </c>
    </row>
    <row r="161" customFormat="false" ht="15" hidden="false" customHeight="false" outlineLevel="0" collapsed="false">
      <c r="A161" s="46" t="s">
        <v>456</v>
      </c>
      <c r="B161" s="46"/>
      <c r="C161" s="46"/>
      <c r="D161" s="46"/>
      <c r="E161" s="46"/>
      <c r="F161" s="46"/>
      <c r="G161" s="46"/>
      <c r="H161" s="46"/>
      <c r="I161" s="46"/>
      <c r="J161" s="46"/>
      <c r="K161" s="46"/>
      <c r="L161" s="46"/>
      <c r="M161" s="46" t="str">
        <f aca="false">IF(OR(B161="",I161=""),"",IFERROR(INDEX('Comment flow'!$C$40:$C$46,MATCH(I161,'Comment flow'!$A$40:$A$46,0)),""))</f>
        <v/>
      </c>
      <c r="N161" s="46" t="str">
        <f aca="false">IF(B161="","",IF(OR(I161="",I161="Open: needs a decision",L161=""),"Open","Closed"))</f>
        <v/>
      </c>
      <c r="O161" s="46"/>
      <c r="P161" s="46" t="str">
        <f aca="false">IF(OR(B161="",I161&lt;&gt;"Save for a later revision"),"",IF(COUNTIF('Deferred edits'!$K$2:$K$201,A161)&gt;0,"Yes","● Add to Deferred edits"))</f>
        <v/>
      </c>
    </row>
    <row r="162" customFormat="false" ht="15" hidden="false" customHeight="false" outlineLevel="0" collapsed="false">
      <c r="A162" s="46" t="s">
        <v>457</v>
      </c>
      <c r="B162" s="46"/>
      <c r="C162" s="46"/>
      <c r="D162" s="46"/>
      <c r="E162" s="46"/>
      <c r="F162" s="46"/>
      <c r="G162" s="46"/>
      <c r="H162" s="46"/>
      <c r="I162" s="46"/>
      <c r="J162" s="46"/>
      <c r="K162" s="46"/>
      <c r="L162" s="46"/>
      <c r="M162" s="46" t="str">
        <f aca="false">IF(OR(B162="",I162=""),"",IFERROR(INDEX('Comment flow'!$C$40:$C$46,MATCH(I162,'Comment flow'!$A$40:$A$46,0)),""))</f>
        <v/>
      </c>
      <c r="N162" s="46" t="str">
        <f aca="false">IF(B162="","",IF(OR(I162="",I162="Open: needs a decision",L162=""),"Open","Closed"))</f>
        <v/>
      </c>
      <c r="O162" s="46"/>
      <c r="P162" s="46" t="str">
        <f aca="false">IF(OR(B162="",I162&lt;&gt;"Save for a later revision"),"",IF(COUNTIF('Deferred edits'!$K$2:$K$201,A162)&gt;0,"Yes","● Add to Deferred edits"))</f>
        <v/>
      </c>
    </row>
    <row r="163" customFormat="false" ht="15" hidden="false" customHeight="false" outlineLevel="0" collapsed="false">
      <c r="A163" s="46" t="s">
        <v>458</v>
      </c>
      <c r="B163" s="46"/>
      <c r="C163" s="46"/>
      <c r="D163" s="46"/>
      <c r="E163" s="46"/>
      <c r="F163" s="46"/>
      <c r="G163" s="46"/>
      <c r="H163" s="46"/>
      <c r="I163" s="46"/>
      <c r="J163" s="46"/>
      <c r="K163" s="46"/>
      <c r="L163" s="46"/>
      <c r="M163" s="46" t="str">
        <f aca="false">IF(OR(B163="",I163=""),"",IFERROR(INDEX('Comment flow'!$C$40:$C$46,MATCH(I163,'Comment flow'!$A$40:$A$46,0)),""))</f>
        <v/>
      </c>
      <c r="N163" s="46" t="str">
        <f aca="false">IF(B163="","",IF(OR(I163="",I163="Open: needs a decision",L163=""),"Open","Closed"))</f>
        <v/>
      </c>
      <c r="O163" s="46"/>
      <c r="P163" s="46" t="str">
        <f aca="false">IF(OR(B163="",I163&lt;&gt;"Save for a later revision"),"",IF(COUNTIF('Deferred edits'!$K$2:$K$201,A163)&gt;0,"Yes","● Add to Deferred edits"))</f>
        <v/>
      </c>
    </row>
    <row r="164" customFormat="false" ht="15" hidden="false" customHeight="false" outlineLevel="0" collapsed="false">
      <c r="A164" s="46" t="s">
        <v>459</v>
      </c>
      <c r="B164" s="46"/>
      <c r="C164" s="46"/>
      <c r="D164" s="46"/>
      <c r="E164" s="46"/>
      <c r="F164" s="46"/>
      <c r="G164" s="46"/>
      <c r="H164" s="46"/>
      <c r="I164" s="46"/>
      <c r="J164" s="46"/>
      <c r="K164" s="46"/>
      <c r="L164" s="46"/>
      <c r="M164" s="46" t="str">
        <f aca="false">IF(OR(B164="",I164=""),"",IFERROR(INDEX('Comment flow'!$C$40:$C$46,MATCH(I164,'Comment flow'!$A$40:$A$46,0)),""))</f>
        <v/>
      </c>
      <c r="N164" s="46" t="str">
        <f aca="false">IF(B164="","",IF(OR(I164="",I164="Open: needs a decision",L164=""),"Open","Closed"))</f>
        <v/>
      </c>
      <c r="O164" s="46"/>
      <c r="P164" s="46" t="str">
        <f aca="false">IF(OR(B164="",I164&lt;&gt;"Save for a later revision"),"",IF(COUNTIF('Deferred edits'!$K$2:$K$201,A164)&gt;0,"Yes","● Add to Deferred edits"))</f>
        <v/>
      </c>
    </row>
    <row r="165" customFormat="false" ht="15" hidden="false" customHeight="false" outlineLevel="0" collapsed="false">
      <c r="A165" s="46" t="s">
        <v>460</v>
      </c>
      <c r="B165" s="46"/>
      <c r="C165" s="46"/>
      <c r="D165" s="46"/>
      <c r="E165" s="46"/>
      <c r="F165" s="46"/>
      <c r="G165" s="46"/>
      <c r="H165" s="46"/>
      <c r="I165" s="46"/>
      <c r="J165" s="46"/>
      <c r="K165" s="46"/>
      <c r="L165" s="46"/>
      <c r="M165" s="46" t="str">
        <f aca="false">IF(OR(B165="",I165=""),"",IFERROR(INDEX('Comment flow'!$C$40:$C$46,MATCH(I165,'Comment flow'!$A$40:$A$46,0)),""))</f>
        <v/>
      </c>
      <c r="N165" s="46" t="str">
        <f aca="false">IF(B165="","",IF(OR(I165="",I165="Open: needs a decision",L165=""),"Open","Closed"))</f>
        <v/>
      </c>
      <c r="O165" s="46"/>
      <c r="P165" s="46" t="str">
        <f aca="false">IF(OR(B165="",I165&lt;&gt;"Save for a later revision"),"",IF(COUNTIF('Deferred edits'!$K$2:$K$201,A165)&gt;0,"Yes","● Add to Deferred edits"))</f>
        <v/>
      </c>
    </row>
    <row r="166" customFormat="false" ht="15" hidden="false" customHeight="false" outlineLevel="0" collapsed="false">
      <c r="A166" s="46" t="s">
        <v>461</v>
      </c>
      <c r="B166" s="46"/>
      <c r="C166" s="46"/>
      <c r="D166" s="46"/>
      <c r="E166" s="46"/>
      <c r="F166" s="46"/>
      <c r="G166" s="46"/>
      <c r="H166" s="46"/>
      <c r="I166" s="46"/>
      <c r="J166" s="46"/>
      <c r="K166" s="46"/>
      <c r="L166" s="46"/>
      <c r="M166" s="46" t="str">
        <f aca="false">IF(OR(B166="",I166=""),"",IFERROR(INDEX('Comment flow'!$C$40:$C$46,MATCH(I166,'Comment flow'!$A$40:$A$46,0)),""))</f>
        <v/>
      </c>
      <c r="N166" s="46" t="str">
        <f aca="false">IF(B166="","",IF(OR(I166="",I166="Open: needs a decision",L166=""),"Open","Closed"))</f>
        <v/>
      </c>
      <c r="O166" s="46"/>
      <c r="P166" s="46" t="str">
        <f aca="false">IF(OR(B166="",I166&lt;&gt;"Save for a later revision"),"",IF(COUNTIF('Deferred edits'!$K$2:$K$201,A166)&gt;0,"Yes","● Add to Deferred edits"))</f>
        <v/>
      </c>
    </row>
    <row r="167" customFormat="false" ht="15" hidden="false" customHeight="false" outlineLevel="0" collapsed="false">
      <c r="A167" s="46" t="s">
        <v>462</v>
      </c>
      <c r="B167" s="46"/>
      <c r="C167" s="46"/>
      <c r="D167" s="46"/>
      <c r="E167" s="46"/>
      <c r="F167" s="46"/>
      <c r="G167" s="46"/>
      <c r="H167" s="46"/>
      <c r="I167" s="46"/>
      <c r="J167" s="46"/>
      <c r="K167" s="46"/>
      <c r="L167" s="46"/>
      <c r="M167" s="46" t="str">
        <f aca="false">IF(OR(B167="",I167=""),"",IFERROR(INDEX('Comment flow'!$C$40:$C$46,MATCH(I167,'Comment flow'!$A$40:$A$46,0)),""))</f>
        <v/>
      </c>
      <c r="N167" s="46" t="str">
        <f aca="false">IF(B167="","",IF(OR(I167="",I167="Open: needs a decision",L167=""),"Open","Closed"))</f>
        <v/>
      </c>
      <c r="O167" s="46"/>
      <c r="P167" s="46" t="str">
        <f aca="false">IF(OR(B167="",I167&lt;&gt;"Save for a later revision"),"",IF(COUNTIF('Deferred edits'!$K$2:$K$201,A167)&gt;0,"Yes","● Add to Deferred edits"))</f>
        <v/>
      </c>
    </row>
    <row r="168" customFormat="false" ht="15" hidden="false" customHeight="false" outlineLevel="0" collapsed="false">
      <c r="A168" s="46" t="s">
        <v>463</v>
      </c>
      <c r="B168" s="46"/>
      <c r="C168" s="46"/>
      <c r="D168" s="46"/>
      <c r="E168" s="46"/>
      <c r="F168" s="46"/>
      <c r="G168" s="46"/>
      <c r="H168" s="46"/>
      <c r="I168" s="46"/>
      <c r="J168" s="46"/>
      <c r="K168" s="46"/>
      <c r="L168" s="46"/>
      <c r="M168" s="46" t="str">
        <f aca="false">IF(OR(B168="",I168=""),"",IFERROR(INDEX('Comment flow'!$C$40:$C$46,MATCH(I168,'Comment flow'!$A$40:$A$46,0)),""))</f>
        <v/>
      </c>
      <c r="N168" s="46" t="str">
        <f aca="false">IF(B168="","",IF(OR(I168="",I168="Open: needs a decision",L168=""),"Open","Closed"))</f>
        <v/>
      </c>
      <c r="O168" s="46"/>
      <c r="P168" s="46" t="str">
        <f aca="false">IF(OR(B168="",I168&lt;&gt;"Save for a later revision"),"",IF(COUNTIF('Deferred edits'!$K$2:$K$201,A168)&gt;0,"Yes","● Add to Deferred edits"))</f>
        <v/>
      </c>
    </row>
    <row r="169" customFormat="false" ht="15" hidden="false" customHeight="false" outlineLevel="0" collapsed="false">
      <c r="A169" s="46" t="s">
        <v>464</v>
      </c>
      <c r="B169" s="46"/>
      <c r="C169" s="46"/>
      <c r="D169" s="46"/>
      <c r="E169" s="46"/>
      <c r="F169" s="46"/>
      <c r="G169" s="46"/>
      <c r="H169" s="46"/>
      <c r="I169" s="46"/>
      <c r="J169" s="46"/>
      <c r="K169" s="46"/>
      <c r="L169" s="46"/>
      <c r="M169" s="46" t="str">
        <f aca="false">IF(OR(B169="",I169=""),"",IFERROR(INDEX('Comment flow'!$C$40:$C$46,MATCH(I169,'Comment flow'!$A$40:$A$46,0)),""))</f>
        <v/>
      </c>
      <c r="N169" s="46" t="str">
        <f aca="false">IF(B169="","",IF(OR(I169="",I169="Open: needs a decision",L169=""),"Open","Closed"))</f>
        <v/>
      </c>
      <c r="O169" s="46"/>
      <c r="P169" s="46" t="str">
        <f aca="false">IF(OR(B169="",I169&lt;&gt;"Save for a later revision"),"",IF(COUNTIF('Deferred edits'!$K$2:$K$201,A169)&gt;0,"Yes","● Add to Deferred edits"))</f>
        <v/>
      </c>
    </row>
    <row r="170" customFormat="false" ht="15" hidden="false" customHeight="false" outlineLevel="0" collapsed="false">
      <c r="A170" s="46" t="s">
        <v>465</v>
      </c>
      <c r="B170" s="46"/>
      <c r="C170" s="46"/>
      <c r="D170" s="46"/>
      <c r="E170" s="46"/>
      <c r="F170" s="46"/>
      <c r="G170" s="46"/>
      <c r="H170" s="46"/>
      <c r="I170" s="46"/>
      <c r="J170" s="46"/>
      <c r="K170" s="46"/>
      <c r="L170" s="46"/>
      <c r="M170" s="46" t="str">
        <f aca="false">IF(OR(B170="",I170=""),"",IFERROR(INDEX('Comment flow'!$C$40:$C$46,MATCH(I170,'Comment flow'!$A$40:$A$46,0)),""))</f>
        <v/>
      </c>
      <c r="N170" s="46" t="str">
        <f aca="false">IF(B170="","",IF(OR(I170="",I170="Open: needs a decision",L170=""),"Open","Closed"))</f>
        <v/>
      </c>
      <c r="O170" s="46"/>
      <c r="P170" s="46" t="str">
        <f aca="false">IF(OR(B170="",I170&lt;&gt;"Save for a later revision"),"",IF(COUNTIF('Deferred edits'!$K$2:$K$201,A170)&gt;0,"Yes","● Add to Deferred edits"))</f>
        <v/>
      </c>
    </row>
    <row r="171" customFormat="false" ht="15" hidden="false" customHeight="false" outlineLevel="0" collapsed="false">
      <c r="A171" s="46" t="s">
        <v>466</v>
      </c>
      <c r="B171" s="46"/>
      <c r="C171" s="46"/>
      <c r="D171" s="46"/>
      <c r="E171" s="46"/>
      <c r="F171" s="46"/>
      <c r="G171" s="46"/>
      <c r="H171" s="46"/>
      <c r="I171" s="46"/>
      <c r="J171" s="46"/>
      <c r="K171" s="46"/>
      <c r="L171" s="46"/>
      <c r="M171" s="46" t="str">
        <f aca="false">IF(OR(B171="",I171=""),"",IFERROR(INDEX('Comment flow'!$C$40:$C$46,MATCH(I171,'Comment flow'!$A$40:$A$46,0)),""))</f>
        <v/>
      </c>
      <c r="N171" s="46" t="str">
        <f aca="false">IF(B171="","",IF(OR(I171="",I171="Open: needs a decision",L171=""),"Open","Closed"))</f>
        <v/>
      </c>
      <c r="O171" s="46"/>
      <c r="P171" s="46" t="str">
        <f aca="false">IF(OR(B171="",I171&lt;&gt;"Save for a later revision"),"",IF(COUNTIF('Deferred edits'!$K$2:$K$201,A171)&gt;0,"Yes","● Add to Deferred edits"))</f>
        <v/>
      </c>
    </row>
    <row r="172" customFormat="false" ht="15" hidden="false" customHeight="false" outlineLevel="0" collapsed="false">
      <c r="A172" s="46" t="s">
        <v>467</v>
      </c>
      <c r="B172" s="46"/>
      <c r="C172" s="46"/>
      <c r="D172" s="46"/>
      <c r="E172" s="46"/>
      <c r="F172" s="46"/>
      <c r="G172" s="46"/>
      <c r="H172" s="46"/>
      <c r="I172" s="46"/>
      <c r="J172" s="46"/>
      <c r="K172" s="46"/>
      <c r="L172" s="46"/>
      <c r="M172" s="46" t="str">
        <f aca="false">IF(OR(B172="",I172=""),"",IFERROR(INDEX('Comment flow'!$C$40:$C$46,MATCH(I172,'Comment flow'!$A$40:$A$46,0)),""))</f>
        <v/>
      </c>
      <c r="N172" s="46" t="str">
        <f aca="false">IF(B172="","",IF(OR(I172="",I172="Open: needs a decision",L172=""),"Open","Closed"))</f>
        <v/>
      </c>
      <c r="O172" s="46"/>
      <c r="P172" s="46" t="str">
        <f aca="false">IF(OR(B172="",I172&lt;&gt;"Save for a later revision"),"",IF(COUNTIF('Deferred edits'!$K$2:$K$201,A172)&gt;0,"Yes","● Add to Deferred edits"))</f>
        <v/>
      </c>
    </row>
    <row r="173" customFormat="false" ht="15" hidden="false" customHeight="false" outlineLevel="0" collapsed="false">
      <c r="A173" s="46" t="s">
        <v>468</v>
      </c>
      <c r="B173" s="46"/>
      <c r="C173" s="46"/>
      <c r="D173" s="46"/>
      <c r="E173" s="46"/>
      <c r="F173" s="46"/>
      <c r="G173" s="46"/>
      <c r="H173" s="46"/>
      <c r="I173" s="46"/>
      <c r="J173" s="46"/>
      <c r="K173" s="46"/>
      <c r="L173" s="46"/>
      <c r="M173" s="46" t="str">
        <f aca="false">IF(OR(B173="",I173=""),"",IFERROR(INDEX('Comment flow'!$C$40:$C$46,MATCH(I173,'Comment flow'!$A$40:$A$46,0)),""))</f>
        <v/>
      </c>
      <c r="N173" s="46" t="str">
        <f aca="false">IF(B173="","",IF(OR(I173="",I173="Open: needs a decision",L173=""),"Open","Closed"))</f>
        <v/>
      </c>
      <c r="O173" s="46"/>
      <c r="P173" s="46" t="str">
        <f aca="false">IF(OR(B173="",I173&lt;&gt;"Save for a later revision"),"",IF(COUNTIF('Deferred edits'!$K$2:$K$201,A173)&gt;0,"Yes","● Add to Deferred edits"))</f>
        <v/>
      </c>
    </row>
    <row r="174" customFormat="false" ht="15" hidden="false" customHeight="false" outlineLevel="0" collapsed="false">
      <c r="A174" s="46" t="s">
        <v>469</v>
      </c>
      <c r="B174" s="46"/>
      <c r="C174" s="46"/>
      <c r="D174" s="46"/>
      <c r="E174" s="46"/>
      <c r="F174" s="46"/>
      <c r="G174" s="46"/>
      <c r="H174" s="46"/>
      <c r="I174" s="46"/>
      <c r="J174" s="46"/>
      <c r="K174" s="46"/>
      <c r="L174" s="46"/>
      <c r="M174" s="46" t="str">
        <f aca="false">IF(OR(B174="",I174=""),"",IFERROR(INDEX('Comment flow'!$C$40:$C$46,MATCH(I174,'Comment flow'!$A$40:$A$46,0)),""))</f>
        <v/>
      </c>
      <c r="N174" s="46" t="str">
        <f aca="false">IF(B174="","",IF(OR(I174="",I174="Open: needs a decision",L174=""),"Open","Closed"))</f>
        <v/>
      </c>
      <c r="O174" s="46"/>
      <c r="P174" s="46" t="str">
        <f aca="false">IF(OR(B174="",I174&lt;&gt;"Save for a later revision"),"",IF(COUNTIF('Deferred edits'!$K$2:$K$201,A174)&gt;0,"Yes","● Add to Deferred edits"))</f>
        <v/>
      </c>
    </row>
    <row r="175" customFormat="false" ht="15" hidden="false" customHeight="false" outlineLevel="0" collapsed="false">
      <c r="A175" s="46" t="s">
        <v>470</v>
      </c>
      <c r="B175" s="46"/>
      <c r="C175" s="46"/>
      <c r="D175" s="46"/>
      <c r="E175" s="46"/>
      <c r="F175" s="46"/>
      <c r="G175" s="46"/>
      <c r="H175" s="46"/>
      <c r="I175" s="46"/>
      <c r="J175" s="46"/>
      <c r="K175" s="46"/>
      <c r="L175" s="46"/>
      <c r="M175" s="46" t="str">
        <f aca="false">IF(OR(B175="",I175=""),"",IFERROR(INDEX('Comment flow'!$C$40:$C$46,MATCH(I175,'Comment flow'!$A$40:$A$46,0)),""))</f>
        <v/>
      </c>
      <c r="N175" s="46" t="str">
        <f aca="false">IF(B175="","",IF(OR(I175="",I175="Open: needs a decision",L175=""),"Open","Closed"))</f>
        <v/>
      </c>
      <c r="O175" s="46"/>
      <c r="P175" s="46" t="str">
        <f aca="false">IF(OR(B175="",I175&lt;&gt;"Save for a later revision"),"",IF(COUNTIF('Deferred edits'!$K$2:$K$201,A175)&gt;0,"Yes","● Add to Deferred edits"))</f>
        <v/>
      </c>
    </row>
    <row r="176" customFormat="false" ht="15" hidden="false" customHeight="false" outlineLevel="0" collapsed="false">
      <c r="A176" s="46" t="s">
        <v>471</v>
      </c>
      <c r="B176" s="46"/>
      <c r="C176" s="46"/>
      <c r="D176" s="46"/>
      <c r="E176" s="46"/>
      <c r="F176" s="46"/>
      <c r="G176" s="46"/>
      <c r="H176" s="46"/>
      <c r="I176" s="46"/>
      <c r="J176" s="46"/>
      <c r="K176" s="46"/>
      <c r="L176" s="46"/>
      <c r="M176" s="46" t="str">
        <f aca="false">IF(OR(B176="",I176=""),"",IFERROR(INDEX('Comment flow'!$C$40:$C$46,MATCH(I176,'Comment flow'!$A$40:$A$46,0)),""))</f>
        <v/>
      </c>
      <c r="N176" s="46" t="str">
        <f aca="false">IF(B176="","",IF(OR(I176="",I176="Open: needs a decision",L176=""),"Open","Closed"))</f>
        <v/>
      </c>
      <c r="O176" s="46"/>
      <c r="P176" s="46" t="str">
        <f aca="false">IF(OR(B176="",I176&lt;&gt;"Save for a later revision"),"",IF(COUNTIF('Deferred edits'!$K$2:$K$201,A176)&gt;0,"Yes","● Add to Deferred edits"))</f>
        <v/>
      </c>
    </row>
    <row r="177" customFormat="false" ht="15" hidden="false" customHeight="false" outlineLevel="0" collapsed="false">
      <c r="A177" s="46" t="s">
        <v>472</v>
      </c>
      <c r="B177" s="46"/>
      <c r="C177" s="46"/>
      <c r="D177" s="46"/>
      <c r="E177" s="46"/>
      <c r="F177" s="46"/>
      <c r="G177" s="46"/>
      <c r="H177" s="46"/>
      <c r="I177" s="46"/>
      <c r="J177" s="46"/>
      <c r="K177" s="46"/>
      <c r="L177" s="46"/>
      <c r="M177" s="46" t="str">
        <f aca="false">IF(OR(B177="",I177=""),"",IFERROR(INDEX('Comment flow'!$C$40:$C$46,MATCH(I177,'Comment flow'!$A$40:$A$46,0)),""))</f>
        <v/>
      </c>
      <c r="N177" s="46" t="str">
        <f aca="false">IF(B177="","",IF(OR(I177="",I177="Open: needs a decision",L177=""),"Open","Closed"))</f>
        <v/>
      </c>
      <c r="O177" s="46"/>
      <c r="P177" s="46" t="str">
        <f aca="false">IF(OR(B177="",I177&lt;&gt;"Save for a later revision"),"",IF(COUNTIF('Deferred edits'!$K$2:$K$201,A177)&gt;0,"Yes","● Add to Deferred edits"))</f>
        <v/>
      </c>
    </row>
    <row r="178" customFormat="false" ht="15" hidden="false" customHeight="false" outlineLevel="0" collapsed="false">
      <c r="A178" s="46" t="s">
        <v>473</v>
      </c>
      <c r="B178" s="46"/>
      <c r="C178" s="46"/>
      <c r="D178" s="46"/>
      <c r="E178" s="46"/>
      <c r="F178" s="46"/>
      <c r="G178" s="46"/>
      <c r="H178" s="46"/>
      <c r="I178" s="46"/>
      <c r="J178" s="46"/>
      <c r="K178" s="46"/>
      <c r="L178" s="46"/>
      <c r="M178" s="46" t="str">
        <f aca="false">IF(OR(B178="",I178=""),"",IFERROR(INDEX('Comment flow'!$C$40:$C$46,MATCH(I178,'Comment flow'!$A$40:$A$46,0)),""))</f>
        <v/>
      </c>
      <c r="N178" s="46" t="str">
        <f aca="false">IF(B178="","",IF(OR(I178="",I178="Open: needs a decision",L178=""),"Open","Closed"))</f>
        <v/>
      </c>
      <c r="O178" s="46"/>
      <c r="P178" s="46" t="str">
        <f aca="false">IF(OR(B178="",I178&lt;&gt;"Save for a later revision"),"",IF(COUNTIF('Deferred edits'!$K$2:$K$201,A178)&gt;0,"Yes","● Add to Deferred edits"))</f>
        <v/>
      </c>
    </row>
    <row r="179" customFormat="false" ht="15" hidden="false" customHeight="false" outlineLevel="0" collapsed="false">
      <c r="A179" s="46" t="s">
        <v>474</v>
      </c>
      <c r="B179" s="46"/>
      <c r="C179" s="46"/>
      <c r="D179" s="46"/>
      <c r="E179" s="46"/>
      <c r="F179" s="46"/>
      <c r="G179" s="46"/>
      <c r="H179" s="46"/>
      <c r="I179" s="46"/>
      <c r="J179" s="46"/>
      <c r="K179" s="46"/>
      <c r="L179" s="46"/>
      <c r="M179" s="46" t="str">
        <f aca="false">IF(OR(B179="",I179=""),"",IFERROR(INDEX('Comment flow'!$C$40:$C$46,MATCH(I179,'Comment flow'!$A$40:$A$46,0)),""))</f>
        <v/>
      </c>
      <c r="N179" s="46" t="str">
        <f aca="false">IF(B179="","",IF(OR(I179="",I179="Open: needs a decision",L179=""),"Open","Closed"))</f>
        <v/>
      </c>
      <c r="O179" s="46"/>
      <c r="P179" s="46" t="str">
        <f aca="false">IF(OR(B179="",I179&lt;&gt;"Save for a later revision"),"",IF(COUNTIF('Deferred edits'!$K$2:$K$201,A179)&gt;0,"Yes","● Add to Deferred edits"))</f>
        <v/>
      </c>
    </row>
    <row r="180" customFormat="false" ht="15" hidden="false" customHeight="false" outlineLevel="0" collapsed="false">
      <c r="A180" s="46" t="s">
        <v>475</v>
      </c>
      <c r="B180" s="46"/>
      <c r="C180" s="46"/>
      <c r="D180" s="46"/>
      <c r="E180" s="46"/>
      <c r="F180" s="46"/>
      <c r="G180" s="46"/>
      <c r="H180" s="46"/>
      <c r="I180" s="46"/>
      <c r="J180" s="46"/>
      <c r="K180" s="46"/>
      <c r="L180" s="46"/>
      <c r="M180" s="46" t="str">
        <f aca="false">IF(OR(B180="",I180=""),"",IFERROR(INDEX('Comment flow'!$C$40:$C$46,MATCH(I180,'Comment flow'!$A$40:$A$46,0)),""))</f>
        <v/>
      </c>
      <c r="N180" s="46" t="str">
        <f aca="false">IF(B180="","",IF(OR(I180="",I180="Open: needs a decision",L180=""),"Open","Closed"))</f>
        <v/>
      </c>
      <c r="O180" s="46"/>
      <c r="P180" s="46" t="str">
        <f aca="false">IF(OR(B180="",I180&lt;&gt;"Save for a later revision"),"",IF(COUNTIF('Deferred edits'!$K$2:$K$201,A180)&gt;0,"Yes","● Add to Deferred edits"))</f>
        <v/>
      </c>
    </row>
    <row r="181" customFormat="false" ht="15" hidden="false" customHeight="false" outlineLevel="0" collapsed="false">
      <c r="A181" s="46" t="s">
        <v>476</v>
      </c>
      <c r="B181" s="46"/>
      <c r="C181" s="46"/>
      <c r="D181" s="46"/>
      <c r="E181" s="46"/>
      <c r="F181" s="46"/>
      <c r="G181" s="46"/>
      <c r="H181" s="46"/>
      <c r="I181" s="46"/>
      <c r="J181" s="46"/>
      <c r="K181" s="46"/>
      <c r="L181" s="46"/>
      <c r="M181" s="46" t="str">
        <f aca="false">IF(OR(B181="",I181=""),"",IFERROR(INDEX('Comment flow'!$C$40:$C$46,MATCH(I181,'Comment flow'!$A$40:$A$46,0)),""))</f>
        <v/>
      </c>
      <c r="N181" s="46" t="str">
        <f aca="false">IF(B181="","",IF(OR(I181="",I181="Open: needs a decision",L181=""),"Open","Closed"))</f>
        <v/>
      </c>
      <c r="O181" s="46"/>
      <c r="P181" s="46" t="str">
        <f aca="false">IF(OR(B181="",I181&lt;&gt;"Save for a later revision"),"",IF(COUNTIF('Deferred edits'!$K$2:$K$201,A181)&gt;0,"Yes","● Add to Deferred edits"))</f>
        <v/>
      </c>
    </row>
    <row r="182" customFormat="false" ht="15" hidden="false" customHeight="false" outlineLevel="0" collapsed="false">
      <c r="A182" s="46" t="s">
        <v>477</v>
      </c>
      <c r="B182" s="46"/>
      <c r="C182" s="46"/>
      <c r="D182" s="46"/>
      <c r="E182" s="46"/>
      <c r="F182" s="46"/>
      <c r="G182" s="46"/>
      <c r="H182" s="46"/>
      <c r="I182" s="46"/>
      <c r="J182" s="46"/>
      <c r="K182" s="46"/>
      <c r="L182" s="46"/>
      <c r="M182" s="46" t="str">
        <f aca="false">IF(OR(B182="",I182=""),"",IFERROR(INDEX('Comment flow'!$C$40:$C$46,MATCH(I182,'Comment flow'!$A$40:$A$46,0)),""))</f>
        <v/>
      </c>
      <c r="N182" s="46" t="str">
        <f aca="false">IF(B182="","",IF(OR(I182="",I182="Open: needs a decision",L182=""),"Open","Closed"))</f>
        <v/>
      </c>
      <c r="O182" s="46"/>
      <c r="P182" s="46" t="str">
        <f aca="false">IF(OR(B182="",I182&lt;&gt;"Save for a later revision"),"",IF(COUNTIF('Deferred edits'!$K$2:$K$201,A182)&gt;0,"Yes","● Add to Deferred edits"))</f>
        <v/>
      </c>
    </row>
    <row r="183" customFormat="false" ht="15" hidden="false" customHeight="false" outlineLevel="0" collapsed="false">
      <c r="A183" s="46" t="s">
        <v>478</v>
      </c>
      <c r="B183" s="46"/>
      <c r="C183" s="46"/>
      <c r="D183" s="46"/>
      <c r="E183" s="46"/>
      <c r="F183" s="46"/>
      <c r="G183" s="46"/>
      <c r="H183" s="46"/>
      <c r="I183" s="46"/>
      <c r="J183" s="46"/>
      <c r="K183" s="46"/>
      <c r="L183" s="46"/>
      <c r="M183" s="46" t="str">
        <f aca="false">IF(OR(B183="",I183=""),"",IFERROR(INDEX('Comment flow'!$C$40:$C$46,MATCH(I183,'Comment flow'!$A$40:$A$46,0)),""))</f>
        <v/>
      </c>
      <c r="N183" s="46" t="str">
        <f aca="false">IF(B183="","",IF(OR(I183="",I183="Open: needs a decision",L183=""),"Open","Closed"))</f>
        <v/>
      </c>
      <c r="O183" s="46"/>
      <c r="P183" s="46" t="str">
        <f aca="false">IF(OR(B183="",I183&lt;&gt;"Save for a later revision"),"",IF(COUNTIF('Deferred edits'!$K$2:$K$201,A183)&gt;0,"Yes","● Add to Deferred edits"))</f>
        <v/>
      </c>
    </row>
    <row r="184" customFormat="false" ht="15" hidden="false" customHeight="false" outlineLevel="0" collapsed="false">
      <c r="A184" s="46" t="s">
        <v>479</v>
      </c>
      <c r="B184" s="46"/>
      <c r="C184" s="46"/>
      <c r="D184" s="46"/>
      <c r="E184" s="46"/>
      <c r="F184" s="46"/>
      <c r="G184" s="46"/>
      <c r="H184" s="46"/>
      <c r="I184" s="46"/>
      <c r="J184" s="46"/>
      <c r="K184" s="46"/>
      <c r="L184" s="46"/>
      <c r="M184" s="46" t="str">
        <f aca="false">IF(OR(B184="",I184=""),"",IFERROR(INDEX('Comment flow'!$C$40:$C$46,MATCH(I184,'Comment flow'!$A$40:$A$46,0)),""))</f>
        <v/>
      </c>
      <c r="N184" s="46" t="str">
        <f aca="false">IF(B184="","",IF(OR(I184="",I184="Open: needs a decision",L184=""),"Open","Closed"))</f>
        <v/>
      </c>
      <c r="O184" s="46"/>
      <c r="P184" s="46" t="str">
        <f aca="false">IF(OR(B184="",I184&lt;&gt;"Save for a later revision"),"",IF(COUNTIF('Deferred edits'!$K$2:$K$201,A184)&gt;0,"Yes","● Add to Deferred edits"))</f>
        <v/>
      </c>
    </row>
    <row r="185" customFormat="false" ht="15" hidden="false" customHeight="false" outlineLevel="0" collapsed="false">
      <c r="A185" s="46" t="s">
        <v>480</v>
      </c>
      <c r="B185" s="46"/>
      <c r="C185" s="46"/>
      <c r="D185" s="46"/>
      <c r="E185" s="46"/>
      <c r="F185" s="46"/>
      <c r="G185" s="46"/>
      <c r="H185" s="46"/>
      <c r="I185" s="46"/>
      <c r="J185" s="46"/>
      <c r="K185" s="46"/>
      <c r="L185" s="46"/>
      <c r="M185" s="46" t="str">
        <f aca="false">IF(OR(B185="",I185=""),"",IFERROR(INDEX('Comment flow'!$C$40:$C$46,MATCH(I185,'Comment flow'!$A$40:$A$46,0)),""))</f>
        <v/>
      </c>
      <c r="N185" s="46" t="str">
        <f aca="false">IF(B185="","",IF(OR(I185="",I185="Open: needs a decision",L185=""),"Open","Closed"))</f>
        <v/>
      </c>
      <c r="O185" s="46"/>
      <c r="P185" s="46" t="str">
        <f aca="false">IF(OR(B185="",I185&lt;&gt;"Save for a later revision"),"",IF(COUNTIF('Deferred edits'!$K$2:$K$201,A185)&gt;0,"Yes","● Add to Deferred edits"))</f>
        <v/>
      </c>
    </row>
    <row r="186" customFormat="false" ht="15" hidden="false" customHeight="false" outlineLevel="0" collapsed="false">
      <c r="A186" s="46" t="s">
        <v>481</v>
      </c>
      <c r="B186" s="46"/>
      <c r="C186" s="46"/>
      <c r="D186" s="46"/>
      <c r="E186" s="46"/>
      <c r="F186" s="46"/>
      <c r="G186" s="46"/>
      <c r="H186" s="46"/>
      <c r="I186" s="46"/>
      <c r="J186" s="46"/>
      <c r="K186" s="46"/>
      <c r="L186" s="46"/>
      <c r="M186" s="46" t="str">
        <f aca="false">IF(OR(B186="",I186=""),"",IFERROR(INDEX('Comment flow'!$C$40:$C$46,MATCH(I186,'Comment flow'!$A$40:$A$46,0)),""))</f>
        <v/>
      </c>
      <c r="N186" s="46" t="str">
        <f aca="false">IF(B186="","",IF(OR(I186="",I186="Open: needs a decision",L186=""),"Open","Closed"))</f>
        <v/>
      </c>
      <c r="O186" s="46"/>
      <c r="P186" s="46" t="str">
        <f aca="false">IF(OR(B186="",I186&lt;&gt;"Save for a later revision"),"",IF(COUNTIF('Deferred edits'!$K$2:$K$201,A186)&gt;0,"Yes","● Add to Deferred edits"))</f>
        <v/>
      </c>
    </row>
    <row r="187" customFormat="false" ht="15" hidden="false" customHeight="false" outlineLevel="0" collapsed="false">
      <c r="A187" s="46" t="s">
        <v>482</v>
      </c>
      <c r="B187" s="46"/>
      <c r="C187" s="46"/>
      <c r="D187" s="46"/>
      <c r="E187" s="46"/>
      <c r="F187" s="46"/>
      <c r="G187" s="46"/>
      <c r="H187" s="46"/>
      <c r="I187" s="46"/>
      <c r="J187" s="46"/>
      <c r="K187" s="46"/>
      <c r="L187" s="46"/>
      <c r="M187" s="46" t="str">
        <f aca="false">IF(OR(B187="",I187=""),"",IFERROR(INDEX('Comment flow'!$C$40:$C$46,MATCH(I187,'Comment flow'!$A$40:$A$46,0)),""))</f>
        <v/>
      </c>
      <c r="N187" s="46" t="str">
        <f aca="false">IF(B187="","",IF(OR(I187="",I187="Open: needs a decision",L187=""),"Open","Closed"))</f>
        <v/>
      </c>
      <c r="O187" s="46"/>
      <c r="P187" s="46" t="str">
        <f aca="false">IF(OR(B187="",I187&lt;&gt;"Save for a later revision"),"",IF(COUNTIF('Deferred edits'!$K$2:$K$201,A187)&gt;0,"Yes","● Add to Deferred edits"))</f>
        <v/>
      </c>
    </row>
    <row r="188" customFormat="false" ht="15" hidden="false" customHeight="false" outlineLevel="0" collapsed="false">
      <c r="A188" s="46" t="s">
        <v>483</v>
      </c>
      <c r="B188" s="46"/>
      <c r="C188" s="46"/>
      <c r="D188" s="46"/>
      <c r="E188" s="46"/>
      <c r="F188" s="46"/>
      <c r="G188" s="46"/>
      <c r="H188" s="46"/>
      <c r="I188" s="46"/>
      <c r="J188" s="46"/>
      <c r="K188" s="46"/>
      <c r="L188" s="46"/>
      <c r="M188" s="46" t="str">
        <f aca="false">IF(OR(B188="",I188=""),"",IFERROR(INDEX('Comment flow'!$C$40:$C$46,MATCH(I188,'Comment flow'!$A$40:$A$46,0)),""))</f>
        <v/>
      </c>
      <c r="N188" s="46" t="str">
        <f aca="false">IF(B188="","",IF(OR(I188="",I188="Open: needs a decision",L188=""),"Open","Closed"))</f>
        <v/>
      </c>
      <c r="O188" s="46"/>
      <c r="P188" s="46" t="str">
        <f aca="false">IF(OR(B188="",I188&lt;&gt;"Save for a later revision"),"",IF(COUNTIF('Deferred edits'!$K$2:$K$201,A188)&gt;0,"Yes","● Add to Deferred edits"))</f>
        <v/>
      </c>
    </row>
    <row r="189" customFormat="false" ht="15" hidden="false" customHeight="false" outlineLevel="0" collapsed="false">
      <c r="A189" s="46" t="s">
        <v>484</v>
      </c>
      <c r="B189" s="46"/>
      <c r="C189" s="46"/>
      <c r="D189" s="46"/>
      <c r="E189" s="46"/>
      <c r="F189" s="46"/>
      <c r="G189" s="46"/>
      <c r="H189" s="46"/>
      <c r="I189" s="46"/>
      <c r="J189" s="46"/>
      <c r="K189" s="46"/>
      <c r="L189" s="46"/>
      <c r="M189" s="46" t="str">
        <f aca="false">IF(OR(B189="",I189=""),"",IFERROR(INDEX('Comment flow'!$C$40:$C$46,MATCH(I189,'Comment flow'!$A$40:$A$46,0)),""))</f>
        <v/>
      </c>
      <c r="N189" s="46" t="str">
        <f aca="false">IF(B189="","",IF(OR(I189="",I189="Open: needs a decision",L189=""),"Open","Closed"))</f>
        <v/>
      </c>
      <c r="O189" s="46"/>
      <c r="P189" s="46" t="str">
        <f aca="false">IF(OR(B189="",I189&lt;&gt;"Save for a later revision"),"",IF(COUNTIF('Deferred edits'!$K$2:$K$201,A189)&gt;0,"Yes","● Add to Deferred edits"))</f>
        <v/>
      </c>
    </row>
    <row r="190" customFormat="false" ht="15" hidden="false" customHeight="false" outlineLevel="0" collapsed="false">
      <c r="A190" s="46" t="s">
        <v>485</v>
      </c>
      <c r="B190" s="46"/>
      <c r="C190" s="46"/>
      <c r="D190" s="46"/>
      <c r="E190" s="46"/>
      <c r="F190" s="46"/>
      <c r="G190" s="46"/>
      <c r="H190" s="46"/>
      <c r="I190" s="46"/>
      <c r="J190" s="46"/>
      <c r="K190" s="46"/>
      <c r="L190" s="46"/>
      <c r="M190" s="46" t="str">
        <f aca="false">IF(OR(B190="",I190=""),"",IFERROR(INDEX('Comment flow'!$C$40:$C$46,MATCH(I190,'Comment flow'!$A$40:$A$46,0)),""))</f>
        <v/>
      </c>
      <c r="N190" s="46" t="str">
        <f aca="false">IF(B190="","",IF(OR(I190="",I190="Open: needs a decision",L190=""),"Open","Closed"))</f>
        <v/>
      </c>
      <c r="O190" s="46"/>
      <c r="P190" s="46" t="str">
        <f aca="false">IF(OR(B190="",I190&lt;&gt;"Save for a later revision"),"",IF(COUNTIF('Deferred edits'!$K$2:$K$201,A190)&gt;0,"Yes","● Add to Deferred edits"))</f>
        <v/>
      </c>
    </row>
    <row r="191" customFormat="false" ht="15" hidden="false" customHeight="false" outlineLevel="0" collapsed="false">
      <c r="A191" s="46" t="s">
        <v>486</v>
      </c>
      <c r="B191" s="46"/>
      <c r="C191" s="46"/>
      <c r="D191" s="46"/>
      <c r="E191" s="46"/>
      <c r="F191" s="46"/>
      <c r="G191" s="46"/>
      <c r="H191" s="46"/>
      <c r="I191" s="46"/>
      <c r="J191" s="46"/>
      <c r="K191" s="46"/>
      <c r="L191" s="46"/>
      <c r="M191" s="46" t="str">
        <f aca="false">IF(OR(B191="",I191=""),"",IFERROR(INDEX('Comment flow'!$C$40:$C$46,MATCH(I191,'Comment flow'!$A$40:$A$46,0)),""))</f>
        <v/>
      </c>
      <c r="N191" s="46" t="str">
        <f aca="false">IF(B191="","",IF(OR(I191="",I191="Open: needs a decision",L191=""),"Open","Closed"))</f>
        <v/>
      </c>
      <c r="O191" s="46"/>
      <c r="P191" s="46" t="str">
        <f aca="false">IF(OR(B191="",I191&lt;&gt;"Save for a later revision"),"",IF(COUNTIF('Deferred edits'!$K$2:$K$201,A191)&gt;0,"Yes","● Add to Deferred edits"))</f>
        <v/>
      </c>
    </row>
    <row r="192" customFormat="false" ht="15" hidden="false" customHeight="false" outlineLevel="0" collapsed="false">
      <c r="A192" s="46" t="s">
        <v>487</v>
      </c>
      <c r="B192" s="46"/>
      <c r="C192" s="46"/>
      <c r="D192" s="46"/>
      <c r="E192" s="46"/>
      <c r="F192" s="46"/>
      <c r="G192" s="46"/>
      <c r="H192" s="46"/>
      <c r="I192" s="46"/>
      <c r="J192" s="46"/>
      <c r="K192" s="46"/>
      <c r="L192" s="46"/>
      <c r="M192" s="46" t="str">
        <f aca="false">IF(OR(B192="",I192=""),"",IFERROR(INDEX('Comment flow'!$C$40:$C$46,MATCH(I192,'Comment flow'!$A$40:$A$46,0)),""))</f>
        <v/>
      </c>
      <c r="N192" s="46" t="str">
        <f aca="false">IF(B192="","",IF(OR(I192="",I192="Open: needs a decision",L192=""),"Open","Closed"))</f>
        <v/>
      </c>
      <c r="O192" s="46"/>
      <c r="P192" s="46" t="str">
        <f aca="false">IF(OR(B192="",I192&lt;&gt;"Save for a later revision"),"",IF(COUNTIF('Deferred edits'!$K$2:$K$201,A192)&gt;0,"Yes","● Add to Deferred edits"))</f>
        <v/>
      </c>
    </row>
    <row r="193" customFormat="false" ht="15" hidden="false" customHeight="false" outlineLevel="0" collapsed="false">
      <c r="A193" s="46" t="s">
        <v>488</v>
      </c>
      <c r="B193" s="46"/>
      <c r="C193" s="46"/>
      <c r="D193" s="46"/>
      <c r="E193" s="46"/>
      <c r="F193" s="46"/>
      <c r="G193" s="46"/>
      <c r="H193" s="46"/>
      <c r="I193" s="46"/>
      <c r="J193" s="46"/>
      <c r="K193" s="46"/>
      <c r="L193" s="46"/>
      <c r="M193" s="46" t="str">
        <f aca="false">IF(OR(B193="",I193=""),"",IFERROR(INDEX('Comment flow'!$C$40:$C$46,MATCH(I193,'Comment flow'!$A$40:$A$46,0)),""))</f>
        <v/>
      </c>
      <c r="N193" s="46" t="str">
        <f aca="false">IF(B193="","",IF(OR(I193="",I193="Open: needs a decision",L193=""),"Open","Closed"))</f>
        <v/>
      </c>
      <c r="O193" s="46"/>
      <c r="P193" s="46" t="str">
        <f aca="false">IF(OR(B193="",I193&lt;&gt;"Save for a later revision"),"",IF(COUNTIF('Deferred edits'!$K$2:$K$201,A193)&gt;0,"Yes","● Add to Deferred edits"))</f>
        <v/>
      </c>
    </row>
    <row r="194" customFormat="false" ht="15" hidden="false" customHeight="false" outlineLevel="0" collapsed="false">
      <c r="A194" s="46" t="s">
        <v>489</v>
      </c>
      <c r="B194" s="46"/>
      <c r="C194" s="46"/>
      <c r="D194" s="46"/>
      <c r="E194" s="46"/>
      <c r="F194" s="46"/>
      <c r="G194" s="46"/>
      <c r="H194" s="46"/>
      <c r="I194" s="46"/>
      <c r="J194" s="46"/>
      <c r="K194" s="46"/>
      <c r="L194" s="46"/>
      <c r="M194" s="46" t="str">
        <f aca="false">IF(OR(B194="",I194=""),"",IFERROR(INDEX('Comment flow'!$C$40:$C$46,MATCH(I194,'Comment flow'!$A$40:$A$46,0)),""))</f>
        <v/>
      </c>
      <c r="N194" s="46" t="str">
        <f aca="false">IF(B194="","",IF(OR(I194="",I194="Open: needs a decision",L194=""),"Open","Closed"))</f>
        <v/>
      </c>
      <c r="O194" s="46"/>
      <c r="P194" s="46" t="str">
        <f aca="false">IF(OR(B194="",I194&lt;&gt;"Save for a later revision"),"",IF(COUNTIF('Deferred edits'!$K$2:$K$201,A194)&gt;0,"Yes","● Add to Deferred edits"))</f>
        <v/>
      </c>
    </row>
    <row r="195" customFormat="false" ht="15" hidden="false" customHeight="false" outlineLevel="0" collapsed="false">
      <c r="A195" s="46" t="s">
        <v>490</v>
      </c>
      <c r="B195" s="46"/>
      <c r="C195" s="46"/>
      <c r="D195" s="46"/>
      <c r="E195" s="46"/>
      <c r="F195" s="46"/>
      <c r="G195" s="46"/>
      <c r="H195" s="46"/>
      <c r="I195" s="46"/>
      <c r="J195" s="46"/>
      <c r="K195" s="46"/>
      <c r="L195" s="46"/>
      <c r="M195" s="46" t="str">
        <f aca="false">IF(OR(B195="",I195=""),"",IFERROR(INDEX('Comment flow'!$C$40:$C$46,MATCH(I195,'Comment flow'!$A$40:$A$46,0)),""))</f>
        <v/>
      </c>
      <c r="N195" s="46" t="str">
        <f aca="false">IF(B195="","",IF(OR(I195="",I195="Open: needs a decision",L195=""),"Open","Closed"))</f>
        <v/>
      </c>
      <c r="O195" s="46"/>
      <c r="P195" s="46" t="str">
        <f aca="false">IF(OR(B195="",I195&lt;&gt;"Save for a later revision"),"",IF(COUNTIF('Deferred edits'!$K$2:$K$201,A195)&gt;0,"Yes","● Add to Deferred edits"))</f>
        <v/>
      </c>
    </row>
    <row r="196" customFormat="false" ht="15" hidden="false" customHeight="false" outlineLevel="0" collapsed="false">
      <c r="A196" s="46" t="s">
        <v>491</v>
      </c>
      <c r="B196" s="46"/>
      <c r="C196" s="46"/>
      <c r="D196" s="46"/>
      <c r="E196" s="46"/>
      <c r="F196" s="46"/>
      <c r="G196" s="46"/>
      <c r="H196" s="46"/>
      <c r="I196" s="46"/>
      <c r="J196" s="46"/>
      <c r="K196" s="46"/>
      <c r="L196" s="46"/>
      <c r="M196" s="46" t="str">
        <f aca="false">IF(OR(B196="",I196=""),"",IFERROR(INDEX('Comment flow'!$C$40:$C$46,MATCH(I196,'Comment flow'!$A$40:$A$46,0)),""))</f>
        <v/>
      </c>
      <c r="N196" s="46" t="str">
        <f aca="false">IF(B196="","",IF(OR(I196="",I196="Open: needs a decision",L196=""),"Open","Closed"))</f>
        <v/>
      </c>
      <c r="O196" s="46"/>
      <c r="P196" s="46" t="str">
        <f aca="false">IF(OR(B196="",I196&lt;&gt;"Save for a later revision"),"",IF(COUNTIF('Deferred edits'!$K$2:$K$201,A196)&gt;0,"Yes","● Add to Deferred edits"))</f>
        <v/>
      </c>
    </row>
    <row r="197" customFormat="false" ht="15" hidden="false" customHeight="false" outlineLevel="0" collapsed="false">
      <c r="A197" s="46" t="s">
        <v>492</v>
      </c>
      <c r="B197" s="46"/>
      <c r="C197" s="46"/>
      <c r="D197" s="46"/>
      <c r="E197" s="46"/>
      <c r="F197" s="46"/>
      <c r="G197" s="46"/>
      <c r="H197" s="46"/>
      <c r="I197" s="46"/>
      <c r="J197" s="46"/>
      <c r="K197" s="46"/>
      <c r="L197" s="46"/>
      <c r="M197" s="46" t="str">
        <f aca="false">IF(OR(B197="",I197=""),"",IFERROR(INDEX('Comment flow'!$C$40:$C$46,MATCH(I197,'Comment flow'!$A$40:$A$46,0)),""))</f>
        <v/>
      </c>
      <c r="N197" s="46" t="str">
        <f aca="false">IF(B197="","",IF(OR(I197="",I197="Open: needs a decision",L197=""),"Open","Closed"))</f>
        <v/>
      </c>
      <c r="O197" s="46"/>
      <c r="P197" s="46" t="str">
        <f aca="false">IF(OR(B197="",I197&lt;&gt;"Save for a later revision"),"",IF(COUNTIF('Deferred edits'!$K$2:$K$201,A197)&gt;0,"Yes","● Add to Deferred edits"))</f>
        <v/>
      </c>
    </row>
    <row r="198" customFormat="false" ht="15" hidden="false" customHeight="false" outlineLevel="0" collapsed="false">
      <c r="A198" s="46" t="s">
        <v>493</v>
      </c>
      <c r="B198" s="46"/>
      <c r="C198" s="46"/>
      <c r="D198" s="46"/>
      <c r="E198" s="46"/>
      <c r="F198" s="46"/>
      <c r="G198" s="46"/>
      <c r="H198" s="46"/>
      <c r="I198" s="46"/>
      <c r="J198" s="46"/>
      <c r="K198" s="46"/>
      <c r="L198" s="46"/>
      <c r="M198" s="46" t="str">
        <f aca="false">IF(OR(B198="",I198=""),"",IFERROR(INDEX('Comment flow'!$C$40:$C$46,MATCH(I198,'Comment flow'!$A$40:$A$46,0)),""))</f>
        <v/>
      </c>
      <c r="N198" s="46" t="str">
        <f aca="false">IF(B198="","",IF(OR(I198="",I198="Open: needs a decision",L198=""),"Open","Closed"))</f>
        <v/>
      </c>
      <c r="O198" s="46"/>
      <c r="P198" s="46" t="str">
        <f aca="false">IF(OR(B198="",I198&lt;&gt;"Save for a later revision"),"",IF(COUNTIF('Deferred edits'!$K$2:$K$201,A198)&gt;0,"Yes","● Add to Deferred edits"))</f>
        <v/>
      </c>
    </row>
    <row r="199" customFormat="false" ht="15" hidden="false" customHeight="false" outlineLevel="0" collapsed="false">
      <c r="A199" s="46" t="s">
        <v>494</v>
      </c>
      <c r="B199" s="46"/>
      <c r="C199" s="46"/>
      <c r="D199" s="46"/>
      <c r="E199" s="46"/>
      <c r="F199" s="46"/>
      <c r="G199" s="46"/>
      <c r="H199" s="46"/>
      <c r="I199" s="46"/>
      <c r="J199" s="46"/>
      <c r="K199" s="46"/>
      <c r="L199" s="46"/>
      <c r="M199" s="46" t="str">
        <f aca="false">IF(OR(B199="",I199=""),"",IFERROR(INDEX('Comment flow'!$C$40:$C$46,MATCH(I199,'Comment flow'!$A$40:$A$46,0)),""))</f>
        <v/>
      </c>
      <c r="N199" s="46" t="str">
        <f aca="false">IF(B199="","",IF(OR(I199="",I199="Open: needs a decision",L199=""),"Open","Closed"))</f>
        <v/>
      </c>
      <c r="O199" s="46"/>
      <c r="P199" s="46" t="str">
        <f aca="false">IF(OR(B199="",I199&lt;&gt;"Save for a later revision"),"",IF(COUNTIF('Deferred edits'!$K$2:$K$201,A199)&gt;0,"Yes","● Add to Deferred edits"))</f>
        <v/>
      </c>
    </row>
    <row r="200" customFormat="false" ht="15" hidden="false" customHeight="false" outlineLevel="0" collapsed="false">
      <c r="A200" s="46" t="s">
        <v>495</v>
      </c>
      <c r="B200" s="46"/>
      <c r="C200" s="46"/>
      <c r="D200" s="46"/>
      <c r="E200" s="46"/>
      <c r="F200" s="46"/>
      <c r="G200" s="46"/>
      <c r="H200" s="46"/>
      <c r="I200" s="46"/>
      <c r="J200" s="46"/>
      <c r="K200" s="46"/>
      <c r="L200" s="46"/>
      <c r="M200" s="46" t="str">
        <f aca="false">IF(OR(B200="",I200=""),"",IFERROR(INDEX('Comment flow'!$C$40:$C$46,MATCH(I200,'Comment flow'!$A$40:$A$46,0)),""))</f>
        <v/>
      </c>
      <c r="N200" s="46" t="str">
        <f aca="false">IF(B200="","",IF(OR(I200="",I200="Open: needs a decision",L200=""),"Open","Closed"))</f>
        <v/>
      </c>
      <c r="O200" s="46"/>
      <c r="P200" s="46" t="str">
        <f aca="false">IF(OR(B200="",I200&lt;&gt;"Save for a later revision"),"",IF(COUNTIF('Deferred edits'!$K$2:$K$201,A200)&gt;0,"Yes","● Add to Deferred edits"))</f>
        <v/>
      </c>
    </row>
    <row r="201" customFormat="false" ht="15" hidden="false" customHeight="false" outlineLevel="0" collapsed="false">
      <c r="A201" s="46" t="s">
        <v>496</v>
      </c>
      <c r="B201" s="46"/>
      <c r="C201" s="46"/>
      <c r="D201" s="46"/>
      <c r="E201" s="46"/>
      <c r="F201" s="46"/>
      <c r="G201" s="46"/>
      <c r="H201" s="46"/>
      <c r="I201" s="46"/>
      <c r="J201" s="46"/>
      <c r="K201" s="46"/>
      <c r="L201" s="46"/>
      <c r="M201" s="46" t="str">
        <f aca="false">IF(OR(B201="",I201=""),"",IFERROR(INDEX('Comment flow'!$C$40:$C$46,MATCH(I201,'Comment flow'!$A$40:$A$46,0)),""))</f>
        <v/>
      </c>
      <c r="N201" s="46" t="str">
        <f aca="false">IF(B201="","",IF(OR(I201="",I201="Open: needs a decision",L201=""),"Open","Closed"))</f>
        <v/>
      </c>
      <c r="O201" s="46"/>
      <c r="P201" s="46" t="str">
        <f aca="false">IF(OR(B201="",I201&lt;&gt;"Save for a later revision"),"",IF(COUNTIF('Deferred edits'!$K$2:$K$201,A201)&gt;0,"Yes","● Add to Deferred edits"))</f>
        <v/>
      </c>
    </row>
    <row r="202" customFormat="false" ht="15" hidden="false" customHeight="false" outlineLevel="0" collapsed="false">
      <c r="A202" s="46" t="s">
        <v>497</v>
      </c>
      <c r="B202" s="46"/>
      <c r="C202" s="46"/>
      <c r="D202" s="46"/>
      <c r="E202" s="46"/>
      <c r="F202" s="46"/>
      <c r="G202" s="46"/>
      <c r="H202" s="46"/>
      <c r="I202" s="46"/>
      <c r="J202" s="46"/>
      <c r="K202" s="46"/>
      <c r="L202" s="46"/>
      <c r="M202" s="46" t="str">
        <f aca="false">IF(OR(B202="",I202=""),"",IFERROR(INDEX('Comment flow'!$C$40:$C$46,MATCH(I202,'Comment flow'!$A$40:$A$46,0)),""))</f>
        <v/>
      </c>
      <c r="N202" s="46" t="str">
        <f aca="false">IF(B202="","",IF(OR(I202="",I202="Open: needs a decision",L202=""),"Open","Closed"))</f>
        <v/>
      </c>
      <c r="O202" s="46"/>
      <c r="P202" s="46" t="str">
        <f aca="false">IF(OR(B202="",I202&lt;&gt;"Save for a later revision"),"",IF(COUNTIF('Deferred edits'!$K$2:$K$201,A202)&gt;0,"Yes","● Add to Deferred edits"))</f>
        <v/>
      </c>
    </row>
    <row r="203" customFormat="false" ht="15" hidden="false" customHeight="false" outlineLevel="0" collapsed="false">
      <c r="A203" s="46" t="s">
        <v>498</v>
      </c>
      <c r="B203" s="46"/>
      <c r="C203" s="46"/>
      <c r="D203" s="46"/>
      <c r="E203" s="46"/>
      <c r="F203" s="46"/>
      <c r="G203" s="46"/>
      <c r="H203" s="46"/>
      <c r="I203" s="46"/>
      <c r="J203" s="46"/>
      <c r="K203" s="46"/>
      <c r="L203" s="46"/>
      <c r="M203" s="46" t="str">
        <f aca="false">IF(OR(B203="",I203=""),"",IFERROR(INDEX('Comment flow'!$C$40:$C$46,MATCH(I203,'Comment flow'!$A$40:$A$46,0)),""))</f>
        <v/>
      </c>
      <c r="N203" s="46" t="str">
        <f aca="false">IF(B203="","",IF(OR(I203="",I203="Open: needs a decision",L203=""),"Open","Closed"))</f>
        <v/>
      </c>
      <c r="O203" s="46"/>
      <c r="P203" s="46" t="str">
        <f aca="false">IF(OR(B203="",I203&lt;&gt;"Save for a later revision"),"",IF(COUNTIF('Deferred edits'!$K$2:$K$201,A203)&gt;0,"Yes","● Add to Deferred edits"))</f>
        <v/>
      </c>
    </row>
    <row r="204" customFormat="false" ht="15" hidden="false" customHeight="false" outlineLevel="0" collapsed="false">
      <c r="A204" s="46" t="s">
        <v>499</v>
      </c>
      <c r="B204" s="46"/>
      <c r="C204" s="46"/>
      <c r="D204" s="46"/>
      <c r="E204" s="46"/>
      <c r="F204" s="46"/>
      <c r="G204" s="46"/>
      <c r="H204" s="46"/>
      <c r="I204" s="46"/>
      <c r="J204" s="46"/>
      <c r="K204" s="46"/>
      <c r="L204" s="46"/>
      <c r="M204" s="46" t="str">
        <f aca="false">IF(OR(B204="",I204=""),"",IFERROR(INDEX('Comment flow'!$C$40:$C$46,MATCH(I204,'Comment flow'!$A$40:$A$46,0)),""))</f>
        <v/>
      </c>
      <c r="N204" s="46" t="str">
        <f aca="false">IF(B204="","",IF(OR(I204="",I204="Open: needs a decision",L204=""),"Open","Closed"))</f>
        <v/>
      </c>
      <c r="O204" s="46"/>
      <c r="P204" s="46" t="str">
        <f aca="false">IF(OR(B204="",I204&lt;&gt;"Save for a later revision"),"",IF(COUNTIF('Deferred edits'!$K$2:$K$201,A204)&gt;0,"Yes","● Add to Deferred edits"))</f>
        <v/>
      </c>
    </row>
    <row r="205" customFormat="false" ht="15" hidden="false" customHeight="false" outlineLevel="0" collapsed="false">
      <c r="A205" s="46" t="s">
        <v>500</v>
      </c>
      <c r="B205" s="46"/>
      <c r="C205" s="46"/>
      <c r="D205" s="46"/>
      <c r="E205" s="46"/>
      <c r="F205" s="46"/>
      <c r="G205" s="46"/>
      <c r="H205" s="46"/>
      <c r="I205" s="46"/>
      <c r="J205" s="46"/>
      <c r="K205" s="46"/>
      <c r="L205" s="46"/>
      <c r="M205" s="46" t="str">
        <f aca="false">IF(OR(B205="",I205=""),"",IFERROR(INDEX('Comment flow'!$C$40:$C$46,MATCH(I205,'Comment flow'!$A$40:$A$46,0)),""))</f>
        <v/>
      </c>
      <c r="N205" s="46" t="str">
        <f aca="false">IF(B205="","",IF(OR(I205="",I205="Open: needs a decision",L205=""),"Open","Closed"))</f>
        <v/>
      </c>
      <c r="O205" s="46"/>
      <c r="P205" s="46" t="str">
        <f aca="false">IF(OR(B205="",I205&lt;&gt;"Save for a later revision"),"",IF(COUNTIF('Deferred edits'!$K$2:$K$201,A205)&gt;0,"Yes","● Add to Deferred edits"))</f>
        <v/>
      </c>
    </row>
    <row r="206" customFormat="false" ht="15" hidden="false" customHeight="false" outlineLevel="0" collapsed="false">
      <c r="A206" s="46" t="s">
        <v>501</v>
      </c>
      <c r="B206" s="46"/>
      <c r="C206" s="46"/>
      <c r="D206" s="46"/>
      <c r="E206" s="46"/>
      <c r="F206" s="46"/>
      <c r="G206" s="46"/>
      <c r="H206" s="46"/>
      <c r="I206" s="46"/>
      <c r="J206" s="46"/>
      <c r="K206" s="46"/>
      <c r="L206" s="46"/>
      <c r="M206" s="46" t="str">
        <f aca="false">IF(OR(B206="",I206=""),"",IFERROR(INDEX('Comment flow'!$C$40:$C$46,MATCH(I206,'Comment flow'!$A$40:$A$46,0)),""))</f>
        <v/>
      </c>
      <c r="N206" s="46" t="str">
        <f aca="false">IF(B206="","",IF(OR(I206="",I206="Open: needs a decision",L206=""),"Open","Closed"))</f>
        <v/>
      </c>
      <c r="O206" s="46"/>
      <c r="P206" s="46" t="str">
        <f aca="false">IF(OR(B206="",I206&lt;&gt;"Save for a later revision"),"",IF(COUNTIF('Deferred edits'!$K$2:$K$201,A206)&gt;0,"Yes","● Add to Deferred edits"))</f>
        <v/>
      </c>
    </row>
    <row r="207" customFormat="false" ht="15" hidden="false" customHeight="false" outlineLevel="0" collapsed="false">
      <c r="A207" s="46" t="s">
        <v>502</v>
      </c>
      <c r="B207" s="46"/>
      <c r="C207" s="46"/>
      <c r="D207" s="46"/>
      <c r="E207" s="46"/>
      <c r="F207" s="46"/>
      <c r="G207" s="46"/>
      <c r="H207" s="46"/>
      <c r="I207" s="46"/>
      <c r="J207" s="46"/>
      <c r="K207" s="46"/>
      <c r="L207" s="46"/>
      <c r="M207" s="46" t="str">
        <f aca="false">IF(OR(B207="",I207=""),"",IFERROR(INDEX('Comment flow'!$C$40:$C$46,MATCH(I207,'Comment flow'!$A$40:$A$46,0)),""))</f>
        <v/>
      </c>
      <c r="N207" s="46" t="str">
        <f aca="false">IF(B207="","",IF(OR(I207="",I207="Open: needs a decision",L207=""),"Open","Closed"))</f>
        <v/>
      </c>
      <c r="O207" s="46"/>
      <c r="P207" s="46" t="str">
        <f aca="false">IF(OR(B207="",I207&lt;&gt;"Save for a later revision"),"",IF(COUNTIF('Deferred edits'!$K$2:$K$201,A207)&gt;0,"Yes","● Add to Deferred edits"))</f>
        <v/>
      </c>
    </row>
    <row r="208" customFormat="false" ht="15" hidden="false" customHeight="false" outlineLevel="0" collapsed="false">
      <c r="A208" s="46" t="s">
        <v>503</v>
      </c>
      <c r="B208" s="46"/>
      <c r="C208" s="46"/>
      <c r="D208" s="46"/>
      <c r="E208" s="46"/>
      <c r="F208" s="46"/>
      <c r="G208" s="46"/>
      <c r="H208" s="46"/>
      <c r="I208" s="46"/>
      <c r="J208" s="46"/>
      <c r="K208" s="46"/>
      <c r="L208" s="46"/>
      <c r="M208" s="46" t="str">
        <f aca="false">IF(OR(B208="",I208=""),"",IFERROR(INDEX('Comment flow'!$C$40:$C$46,MATCH(I208,'Comment flow'!$A$40:$A$46,0)),""))</f>
        <v/>
      </c>
      <c r="N208" s="46" t="str">
        <f aca="false">IF(B208="","",IF(OR(I208="",I208="Open: needs a decision",L208=""),"Open","Closed"))</f>
        <v/>
      </c>
      <c r="O208" s="46"/>
      <c r="P208" s="46" t="str">
        <f aca="false">IF(OR(B208="",I208&lt;&gt;"Save for a later revision"),"",IF(COUNTIF('Deferred edits'!$K$2:$K$201,A208)&gt;0,"Yes","● Add to Deferred edits"))</f>
        <v/>
      </c>
    </row>
    <row r="209" customFormat="false" ht="15" hidden="false" customHeight="false" outlineLevel="0" collapsed="false">
      <c r="A209" s="46" t="s">
        <v>504</v>
      </c>
      <c r="B209" s="46"/>
      <c r="C209" s="46"/>
      <c r="D209" s="46"/>
      <c r="E209" s="46"/>
      <c r="F209" s="46"/>
      <c r="G209" s="46"/>
      <c r="H209" s="46"/>
      <c r="I209" s="46"/>
      <c r="J209" s="46"/>
      <c r="K209" s="46"/>
      <c r="L209" s="46"/>
      <c r="M209" s="46" t="str">
        <f aca="false">IF(OR(B209="",I209=""),"",IFERROR(INDEX('Comment flow'!$C$40:$C$46,MATCH(I209,'Comment flow'!$A$40:$A$46,0)),""))</f>
        <v/>
      </c>
      <c r="N209" s="46" t="str">
        <f aca="false">IF(B209="","",IF(OR(I209="",I209="Open: needs a decision",L209=""),"Open","Closed"))</f>
        <v/>
      </c>
      <c r="O209" s="46"/>
      <c r="P209" s="46" t="str">
        <f aca="false">IF(OR(B209="",I209&lt;&gt;"Save for a later revision"),"",IF(COUNTIF('Deferred edits'!$K$2:$K$201,A209)&gt;0,"Yes","● Add to Deferred edits"))</f>
        <v/>
      </c>
    </row>
    <row r="210" customFormat="false" ht="15" hidden="false" customHeight="false" outlineLevel="0" collapsed="false">
      <c r="A210" s="46" t="s">
        <v>505</v>
      </c>
      <c r="B210" s="46"/>
      <c r="C210" s="46"/>
      <c r="D210" s="46"/>
      <c r="E210" s="46"/>
      <c r="F210" s="46"/>
      <c r="G210" s="46"/>
      <c r="H210" s="46"/>
      <c r="I210" s="46"/>
      <c r="J210" s="46"/>
      <c r="K210" s="46"/>
      <c r="L210" s="46"/>
      <c r="M210" s="46" t="str">
        <f aca="false">IF(OR(B210="",I210=""),"",IFERROR(INDEX('Comment flow'!$C$40:$C$46,MATCH(I210,'Comment flow'!$A$40:$A$46,0)),""))</f>
        <v/>
      </c>
      <c r="N210" s="46" t="str">
        <f aca="false">IF(B210="","",IF(OR(I210="",I210="Open: needs a decision",L210=""),"Open","Closed"))</f>
        <v/>
      </c>
      <c r="O210" s="46"/>
      <c r="P210" s="46" t="str">
        <f aca="false">IF(OR(B210="",I210&lt;&gt;"Save for a later revision"),"",IF(COUNTIF('Deferred edits'!$K$2:$K$201,A210)&gt;0,"Yes","● Add to Deferred edits"))</f>
        <v/>
      </c>
    </row>
    <row r="211" customFormat="false" ht="15" hidden="false" customHeight="false" outlineLevel="0" collapsed="false">
      <c r="A211" s="46" t="s">
        <v>506</v>
      </c>
      <c r="B211" s="46"/>
      <c r="C211" s="46"/>
      <c r="D211" s="46"/>
      <c r="E211" s="46"/>
      <c r="F211" s="46"/>
      <c r="G211" s="46"/>
      <c r="H211" s="46"/>
      <c r="I211" s="46"/>
      <c r="J211" s="46"/>
      <c r="K211" s="46"/>
      <c r="L211" s="46"/>
      <c r="M211" s="46" t="str">
        <f aca="false">IF(OR(B211="",I211=""),"",IFERROR(INDEX('Comment flow'!$C$40:$C$46,MATCH(I211,'Comment flow'!$A$40:$A$46,0)),""))</f>
        <v/>
      </c>
      <c r="N211" s="46" t="str">
        <f aca="false">IF(B211="","",IF(OR(I211="",I211="Open: needs a decision",L211=""),"Open","Closed"))</f>
        <v/>
      </c>
      <c r="O211" s="46"/>
      <c r="P211" s="46" t="str">
        <f aca="false">IF(OR(B211="",I211&lt;&gt;"Save for a later revision"),"",IF(COUNTIF('Deferred edits'!$K$2:$K$201,A211)&gt;0,"Yes","● Add to Deferred edits"))</f>
        <v/>
      </c>
    </row>
    <row r="212" customFormat="false" ht="15" hidden="false" customHeight="false" outlineLevel="0" collapsed="false">
      <c r="A212" s="46" t="s">
        <v>507</v>
      </c>
      <c r="B212" s="46"/>
      <c r="C212" s="46"/>
      <c r="D212" s="46"/>
      <c r="E212" s="46"/>
      <c r="F212" s="46"/>
      <c r="G212" s="46"/>
      <c r="H212" s="46"/>
      <c r="I212" s="46"/>
      <c r="J212" s="46"/>
      <c r="K212" s="46"/>
      <c r="L212" s="46"/>
      <c r="M212" s="46" t="str">
        <f aca="false">IF(OR(B212="",I212=""),"",IFERROR(INDEX('Comment flow'!$C$40:$C$46,MATCH(I212,'Comment flow'!$A$40:$A$46,0)),""))</f>
        <v/>
      </c>
      <c r="N212" s="46" t="str">
        <f aca="false">IF(B212="","",IF(OR(I212="",I212="Open: needs a decision",L212=""),"Open","Closed"))</f>
        <v/>
      </c>
      <c r="O212" s="46"/>
      <c r="P212" s="46" t="str">
        <f aca="false">IF(OR(B212="",I212&lt;&gt;"Save for a later revision"),"",IF(COUNTIF('Deferred edits'!$K$2:$K$201,A212)&gt;0,"Yes","● Add to Deferred edits"))</f>
        <v/>
      </c>
    </row>
    <row r="213" customFormat="false" ht="15" hidden="false" customHeight="false" outlineLevel="0" collapsed="false">
      <c r="A213" s="46" t="s">
        <v>508</v>
      </c>
      <c r="B213" s="46"/>
      <c r="C213" s="46"/>
      <c r="D213" s="46"/>
      <c r="E213" s="46"/>
      <c r="F213" s="46"/>
      <c r="G213" s="46"/>
      <c r="H213" s="46"/>
      <c r="I213" s="46"/>
      <c r="J213" s="46"/>
      <c r="K213" s="46"/>
      <c r="L213" s="46"/>
      <c r="M213" s="46" t="str">
        <f aca="false">IF(OR(B213="",I213=""),"",IFERROR(INDEX('Comment flow'!$C$40:$C$46,MATCH(I213,'Comment flow'!$A$40:$A$46,0)),""))</f>
        <v/>
      </c>
      <c r="N213" s="46" t="str">
        <f aca="false">IF(B213="","",IF(OR(I213="",I213="Open: needs a decision",L213=""),"Open","Closed"))</f>
        <v/>
      </c>
      <c r="O213" s="46"/>
      <c r="P213" s="46" t="str">
        <f aca="false">IF(OR(B213="",I213&lt;&gt;"Save for a later revision"),"",IF(COUNTIF('Deferred edits'!$K$2:$K$201,A213)&gt;0,"Yes","● Add to Deferred edits"))</f>
        <v/>
      </c>
    </row>
    <row r="214" customFormat="false" ht="15" hidden="false" customHeight="false" outlineLevel="0" collapsed="false">
      <c r="A214" s="46" t="s">
        <v>509</v>
      </c>
      <c r="B214" s="46"/>
      <c r="C214" s="46"/>
      <c r="D214" s="46"/>
      <c r="E214" s="46"/>
      <c r="F214" s="46"/>
      <c r="G214" s="46"/>
      <c r="H214" s="46"/>
      <c r="I214" s="46"/>
      <c r="J214" s="46"/>
      <c r="K214" s="46"/>
      <c r="L214" s="46"/>
      <c r="M214" s="46" t="str">
        <f aca="false">IF(OR(B214="",I214=""),"",IFERROR(INDEX('Comment flow'!$C$40:$C$46,MATCH(I214,'Comment flow'!$A$40:$A$46,0)),""))</f>
        <v/>
      </c>
      <c r="N214" s="46" t="str">
        <f aca="false">IF(B214="","",IF(OR(I214="",I214="Open: needs a decision",L214=""),"Open","Closed"))</f>
        <v/>
      </c>
      <c r="O214" s="46"/>
      <c r="P214" s="46" t="str">
        <f aca="false">IF(OR(B214="",I214&lt;&gt;"Save for a later revision"),"",IF(COUNTIF('Deferred edits'!$K$2:$K$201,A214)&gt;0,"Yes","● Add to Deferred edits"))</f>
        <v/>
      </c>
    </row>
    <row r="215" customFormat="false" ht="15" hidden="false" customHeight="false" outlineLevel="0" collapsed="false">
      <c r="A215" s="46" t="s">
        <v>510</v>
      </c>
      <c r="B215" s="46"/>
      <c r="C215" s="46"/>
      <c r="D215" s="46"/>
      <c r="E215" s="46"/>
      <c r="F215" s="46"/>
      <c r="G215" s="46"/>
      <c r="H215" s="46"/>
      <c r="I215" s="46"/>
      <c r="J215" s="46"/>
      <c r="K215" s="46"/>
      <c r="L215" s="46"/>
      <c r="M215" s="46" t="str">
        <f aca="false">IF(OR(B215="",I215=""),"",IFERROR(INDEX('Comment flow'!$C$40:$C$46,MATCH(I215,'Comment flow'!$A$40:$A$46,0)),""))</f>
        <v/>
      </c>
      <c r="N215" s="46" t="str">
        <f aca="false">IF(B215="","",IF(OR(I215="",I215="Open: needs a decision",L215=""),"Open","Closed"))</f>
        <v/>
      </c>
      <c r="O215" s="46"/>
      <c r="P215" s="46" t="str">
        <f aca="false">IF(OR(B215="",I215&lt;&gt;"Save for a later revision"),"",IF(COUNTIF('Deferred edits'!$K$2:$K$201,A215)&gt;0,"Yes","● Add to Deferred edits"))</f>
        <v/>
      </c>
    </row>
    <row r="216" customFormat="false" ht="15" hidden="false" customHeight="false" outlineLevel="0" collapsed="false">
      <c r="A216" s="46" t="s">
        <v>511</v>
      </c>
      <c r="B216" s="46"/>
      <c r="C216" s="46"/>
      <c r="D216" s="46"/>
      <c r="E216" s="46"/>
      <c r="F216" s="46"/>
      <c r="G216" s="46"/>
      <c r="H216" s="46"/>
      <c r="I216" s="46"/>
      <c r="J216" s="46"/>
      <c r="K216" s="46"/>
      <c r="L216" s="46"/>
      <c r="M216" s="46" t="str">
        <f aca="false">IF(OR(B216="",I216=""),"",IFERROR(INDEX('Comment flow'!$C$40:$C$46,MATCH(I216,'Comment flow'!$A$40:$A$46,0)),""))</f>
        <v/>
      </c>
      <c r="N216" s="46" t="str">
        <f aca="false">IF(B216="","",IF(OR(I216="",I216="Open: needs a decision",L216=""),"Open","Closed"))</f>
        <v/>
      </c>
      <c r="O216" s="46"/>
      <c r="P216" s="46" t="str">
        <f aca="false">IF(OR(B216="",I216&lt;&gt;"Save for a later revision"),"",IF(COUNTIF('Deferred edits'!$K$2:$K$201,A216)&gt;0,"Yes","● Add to Deferred edits"))</f>
        <v/>
      </c>
    </row>
    <row r="217" customFormat="false" ht="15" hidden="false" customHeight="false" outlineLevel="0" collapsed="false">
      <c r="A217" s="46" t="s">
        <v>512</v>
      </c>
      <c r="B217" s="46"/>
      <c r="C217" s="46"/>
      <c r="D217" s="46"/>
      <c r="E217" s="46"/>
      <c r="F217" s="46"/>
      <c r="G217" s="46"/>
      <c r="H217" s="46"/>
      <c r="I217" s="46"/>
      <c r="J217" s="46"/>
      <c r="K217" s="46"/>
      <c r="L217" s="46"/>
      <c r="M217" s="46" t="str">
        <f aca="false">IF(OR(B217="",I217=""),"",IFERROR(INDEX('Comment flow'!$C$40:$C$46,MATCH(I217,'Comment flow'!$A$40:$A$46,0)),""))</f>
        <v/>
      </c>
      <c r="N217" s="46" t="str">
        <f aca="false">IF(B217="","",IF(OR(I217="",I217="Open: needs a decision",L217=""),"Open","Closed"))</f>
        <v/>
      </c>
      <c r="O217" s="46"/>
      <c r="P217" s="46" t="str">
        <f aca="false">IF(OR(B217="",I217&lt;&gt;"Save for a later revision"),"",IF(COUNTIF('Deferred edits'!$K$2:$K$201,A217)&gt;0,"Yes","● Add to Deferred edits"))</f>
        <v/>
      </c>
    </row>
    <row r="218" customFormat="false" ht="15" hidden="false" customHeight="false" outlineLevel="0" collapsed="false">
      <c r="A218" s="46" t="s">
        <v>513</v>
      </c>
      <c r="B218" s="46"/>
      <c r="C218" s="46"/>
      <c r="D218" s="46"/>
      <c r="E218" s="46"/>
      <c r="F218" s="46"/>
      <c r="G218" s="46"/>
      <c r="H218" s="46"/>
      <c r="I218" s="46"/>
      <c r="J218" s="46"/>
      <c r="K218" s="46"/>
      <c r="L218" s="46"/>
      <c r="M218" s="46" t="str">
        <f aca="false">IF(OR(B218="",I218=""),"",IFERROR(INDEX('Comment flow'!$C$40:$C$46,MATCH(I218,'Comment flow'!$A$40:$A$46,0)),""))</f>
        <v/>
      </c>
      <c r="N218" s="46" t="str">
        <f aca="false">IF(B218="","",IF(OR(I218="",I218="Open: needs a decision",L218=""),"Open","Closed"))</f>
        <v/>
      </c>
      <c r="O218" s="46"/>
      <c r="P218" s="46" t="str">
        <f aca="false">IF(OR(B218="",I218&lt;&gt;"Save for a later revision"),"",IF(COUNTIF('Deferred edits'!$K$2:$K$201,A218)&gt;0,"Yes","● Add to Deferred edits"))</f>
        <v/>
      </c>
    </row>
    <row r="219" customFormat="false" ht="15" hidden="false" customHeight="false" outlineLevel="0" collapsed="false">
      <c r="A219" s="46" t="s">
        <v>514</v>
      </c>
      <c r="B219" s="46"/>
      <c r="C219" s="46"/>
      <c r="D219" s="46"/>
      <c r="E219" s="46"/>
      <c r="F219" s="46"/>
      <c r="G219" s="46"/>
      <c r="H219" s="46"/>
      <c r="I219" s="46"/>
      <c r="J219" s="46"/>
      <c r="K219" s="46"/>
      <c r="L219" s="46"/>
      <c r="M219" s="46" t="str">
        <f aca="false">IF(OR(B219="",I219=""),"",IFERROR(INDEX('Comment flow'!$C$40:$C$46,MATCH(I219,'Comment flow'!$A$40:$A$46,0)),""))</f>
        <v/>
      </c>
      <c r="N219" s="46" t="str">
        <f aca="false">IF(B219="","",IF(OR(I219="",I219="Open: needs a decision",L219=""),"Open","Closed"))</f>
        <v/>
      </c>
      <c r="O219" s="46"/>
      <c r="P219" s="46" t="str">
        <f aca="false">IF(OR(B219="",I219&lt;&gt;"Save for a later revision"),"",IF(COUNTIF('Deferred edits'!$K$2:$K$201,A219)&gt;0,"Yes","● Add to Deferred edits"))</f>
        <v/>
      </c>
    </row>
    <row r="220" customFormat="false" ht="15" hidden="false" customHeight="false" outlineLevel="0" collapsed="false">
      <c r="A220" s="46" t="s">
        <v>515</v>
      </c>
      <c r="B220" s="46"/>
      <c r="C220" s="46"/>
      <c r="D220" s="46"/>
      <c r="E220" s="46"/>
      <c r="F220" s="46"/>
      <c r="G220" s="46"/>
      <c r="H220" s="46"/>
      <c r="I220" s="46"/>
      <c r="J220" s="46"/>
      <c r="K220" s="46"/>
      <c r="L220" s="46"/>
      <c r="M220" s="46" t="str">
        <f aca="false">IF(OR(B220="",I220=""),"",IFERROR(INDEX('Comment flow'!$C$40:$C$46,MATCH(I220,'Comment flow'!$A$40:$A$46,0)),""))</f>
        <v/>
      </c>
      <c r="N220" s="46" t="str">
        <f aca="false">IF(B220="","",IF(OR(I220="",I220="Open: needs a decision",L220=""),"Open","Closed"))</f>
        <v/>
      </c>
      <c r="O220" s="46"/>
      <c r="P220" s="46" t="str">
        <f aca="false">IF(OR(B220="",I220&lt;&gt;"Save for a later revision"),"",IF(COUNTIF('Deferred edits'!$K$2:$K$201,A220)&gt;0,"Yes","● Add to Deferred edits"))</f>
        <v/>
      </c>
    </row>
    <row r="221" customFormat="false" ht="15" hidden="false" customHeight="false" outlineLevel="0" collapsed="false">
      <c r="A221" s="46" t="s">
        <v>516</v>
      </c>
      <c r="B221" s="46"/>
      <c r="C221" s="46"/>
      <c r="D221" s="46"/>
      <c r="E221" s="46"/>
      <c r="F221" s="46"/>
      <c r="G221" s="46"/>
      <c r="H221" s="46"/>
      <c r="I221" s="46"/>
      <c r="J221" s="46"/>
      <c r="K221" s="46"/>
      <c r="L221" s="46"/>
      <c r="M221" s="46" t="str">
        <f aca="false">IF(OR(B221="",I221=""),"",IFERROR(INDEX('Comment flow'!$C$40:$C$46,MATCH(I221,'Comment flow'!$A$40:$A$46,0)),""))</f>
        <v/>
      </c>
      <c r="N221" s="46" t="str">
        <f aca="false">IF(B221="","",IF(OR(I221="",I221="Open: needs a decision",L221=""),"Open","Closed"))</f>
        <v/>
      </c>
      <c r="O221" s="46"/>
      <c r="P221" s="46" t="str">
        <f aca="false">IF(OR(B221="",I221&lt;&gt;"Save for a later revision"),"",IF(COUNTIF('Deferred edits'!$K$2:$K$201,A221)&gt;0,"Yes","● Add to Deferred edits"))</f>
        <v/>
      </c>
    </row>
    <row r="222" customFormat="false" ht="15" hidden="false" customHeight="false" outlineLevel="0" collapsed="false">
      <c r="A222" s="46" t="s">
        <v>517</v>
      </c>
      <c r="B222" s="46"/>
      <c r="C222" s="46"/>
      <c r="D222" s="46"/>
      <c r="E222" s="46"/>
      <c r="F222" s="46"/>
      <c r="G222" s="46"/>
      <c r="H222" s="46"/>
      <c r="I222" s="46"/>
      <c r="J222" s="46"/>
      <c r="K222" s="46"/>
      <c r="L222" s="46"/>
      <c r="M222" s="46" t="str">
        <f aca="false">IF(OR(B222="",I222=""),"",IFERROR(INDEX('Comment flow'!$C$40:$C$46,MATCH(I222,'Comment flow'!$A$40:$A$46,0)),""))</f>
        <v/>
      </c>
      <c r="N222" s="46" t="str">
        <f aca="false">IF(B222="","",IF(OR(I222="",I222="Open: needs a decision",L222=""),"Open","Closed"))</f>
        <v/>
      </c>
      <c r="O222" s="46"/>
      <c r="P222" s="46" t="str">
        <f aca="false">IF(OR(B222="",I222&lt;&gt;"Save for a later revision"),"",IF(COUNTIF('Deferred edits'!$K$2:$K$201,A222)&gt;0,"Yes","● Add to Deferred edits"))</f>
        <v/>
      </c>
    </row>
    <row r="223" customFormat="false" ht="15" hidden="false" customHeight="false" outlineLevel="0" collapsed="false">
      <c r="A223" s="46" t="s">
        <v>518</v>
      </c>
      <c r="B223" s="46"/>
      <c r="C223" s="46"/>
      <c r="D223" s="46"/>
      <c r="E223" s="46"/>
      <c r="F223" s="46"/>
      <c r="G223" s="46"/>
      <c r="H223" s="46"/>
      <c r="I223" s="46"/>
      <c r="J223" s="46"/>
      <c r="K223" s="46"/>
      <c r="L223" s="46"/>
      <c r="M223" s="46" t="str">
        <f aca="false">IF(OR(B223="",I223=""),"",IFERROR(INDEX('Comment flow'!$C$40:$C$46,MATCH(I223,'Comment flow'!$A$40:$A$46,0)),""))</f>
        <v/>
      </c>
      <c r="N223" s="46" t="str">
        <f aca="false">IF(B223="","",IF(OR(I223="",I223="Open: needs a decision",L223=""),"Open","Closed"))</f>
        <v/>
      </c>
      <c r="O223" s="46"/>
      <c r="P223" s="46" t="str">
        <f aca="false">IF(OR(B223="",I223&lt;&gt;"Save for a later revision"),"",IF(COUNTIF('Deferred edits'!$K$2:$K$201,A223)&gt;0,"Yes","● Add to Deferred edits"))</f>
        <v/>
      </c>
    </row>
    <row r="224" customFormat="false" ht="15" hidden="false" customHeight="false" outlineLevel="0" collapsed="false">
      <c r="A224" s="46" t="s">
        <v>519</v>
      </c>
      <c r="B224" s="46"/>
      <c r="C224" s="46"/>
      <c r="D224" s="46"/>
      <c r="E224" s="46"/>
      <c r="F224" s="46"/>
      <c r="G224" s="46"/>
      <c r="H224" s="46"/>
      <c r="I224" s="46"/>
      <c r="J224" s="46"/>
      <c r="K224" s="46"/>
      <c r="L224" s="46"/>
      <c r="M224" s="46" t="str">
        <f aca="false">IF(OR(B224="",I224=""),"",IFERROR(INDEX('Comment flow'!$C$40:$C$46,MATCH(I224,'Comment flow'!$A$40:$A$46,0)),""))</f>
        <v/>
      </c>
      <c r="N224" s="46" t="str">
        <f aca="false">IF(B224="","",IF(OR(I224="",I224="Open: needs a decision",L224=""),"Open","Closed"))</f>
        <v/>
      </c>
      <c r="O224" s="46"/>
      <c r="P224" s="46" t="str">
        <f aca="false">IF(OR(B224="",I224&lt;&gt;"Save for a later revision"),"",IF(COUNTIF('Deferred edits'!$K$2:$K$201,A224)&gt;0,"Yes","● Add to Deferred edits"))</f>
        <v/>
      </c>
    </row>
    <row r="225" customFormat="false" ht="15" hidden="false" customHeight="false" outlineLevel="0" collapsed="false">
      <c r="A225" s="46" t="s">
        <v>520</v>
      </c>
      <c r="B225" s="46"/>
      <c r="C225" s="46"/>
      <c r="D225" s="46"/>
      <c r="E225" s="46"/>
      <c r="F225" s="46"/>
      <c r="G225" s="46"/>
      <c r="H225" s="46"/>
      <c r="I225" s="46"/>
      <c r="J225" s="46"/>
      <c r="K225" s="46"/>
      <c r="L225" s="46"/>
      <c r="M225" s="46" t="str">
        <f aca="false">IF(OR(B225="",I225=""),"",IFERROR(INDEX('Comment flow'!$C$40:$C$46,MATCH(I225,'Comment flow'!$A$40:$A$46,0)),""))</f>
        <v/>
      </c>
      <c r="N225" s="46" t="str">
        <f aca="false">IF(B225="","",IF(OR(I225="",I225="Open: needs a decision",L225=""),"Open","Closed"))</f>
        <v/>
      </c>
      <c r="O225" s="46"/>
      <c r="P225" s="46" t="str">
        <f aca="false">IF(OR(B225="",I225&lt;&gt;"Save for a later revision"),"",IF(COUNTIF('Deferred edits'!$K$2:$K$201,A225)&gt;0,"Yes","● Add to Deferred edits"))</f>
        <v/>
      </c>
    </row>
    <row r="226" customFormat="false" ht="15" hidden="false" customHeight="false" outlineLevel="0" collapsed="false">
      <c r="A226" s="46" t="s">
        <v>521</v>
      </c>
      <c r="B226" s="46"/>
      <c r="C226" s="46"/>
      <c r="D226" s="46"/>
      <c r="E226" s="46"/>
      <c r="F226" s="46"/>
      <c r="G226" s="46"/>
      <c r="H226" s="46"/>
      <c r="I226" s="46"/>
      <c r="J226" s="46"/>
      <c r="K226" s="46"/>
      <c r="L226" s="46"/>
      <c r="M226" s="46" t="str">
        <f aca="false">IF(OR(B226="",I226=""),"",IFERROR(INDEX('Comment flow'!$C$40:$C$46,MATCH(I226,'Comment flow'!$A$40:$A$46,0)),""))</f>
        <v/>
      </c>
      <c r="N226" s="46" t="str">
        <f aca="false">IF(B226="","",IF(OR(I226="",I226="Open: needs a decision",L226=""),"Open","Closed"))</f>
        <v/>
      </c>
      <c r="O226" s="46"/>
      <c r="P226" s="46" t="str">
        <f aca="false">IF(OR(B226="",I226&lt;&gt;"Save for a later revision"),"",IF(COUNTIF('Deferred edits'!$K$2:$K$201,A226)&gt;0,"Yes","● Add to Deferred edits"))</f>
        <v/>
      </c>
    </row>
    <row r="227" customFormat="false" ht="15" hidden="false" customHeight="false" outlineLevel="0" collapsed="false">
      <c r="A227" s="46" t="s">
        <v>522</v>
      </c>
      <c r="B227" s="46"/>
      <c r="C227" s="46"/>
      <c r="D227" s="46"/>
      <c r="E227" s="46"/>
      <c r="F227" s="46"/>
      <c r="G227" s="46"/>
      <c r="H227" s="46"/>
      <c r="I227" s="46"/>
      <c r="J227" s="46"/>
      <c r="K227" s="46"/>
      <c r="L227" s="46"/>
      <c r="M227" s="46" t="str">
        <f aca="false">IF(OR(B227="",I227=""),"",IFERROR(INDEX('Comment flow'!$C$40:$C$46,MATCH(I227,'Comment flow'!$A$40:$A$46,0)),""))</f>
        <v/>
      </c>
      <c r="N227" s="46" t="str">
        <f aca="false">IF(B227="","",IF(OR(I227="",I227="Open: needs a decision",L227=""),"Open","Closed"))</f>
        <v/>
      </c>
      <c r="O227" s="46"/>
      <c r="P227" s="46" t="str">
        <f aca="false">IF(OR(B227="",I227&lt;&gt;"Save for a later revision"),"",IF(COUNTIF('Deferred edits'!$K$2:$K$201,A227)&gt;0,"Yes","● Add to Deferred edits"))</f>
        <v/>
      </c>
    </row>
    <row r="228" customFormat="false" ht="15" hidden="false" customHeight="false" outlineLevel="0" collapsed="false">
      <c r="A228" s="46" t="s">
        <v>523</v>
      </c>
      <c r="B228" s="46"/>
      <c r="C228" s="46"/>
      <c r="D228" s="46"/>
      <c r="E228" s="46"/>
      <c r="F228" s="46"/>
      <c r="G228" s="46"/>
      <c r="H228" s="46"/>
      <c r="I228" s="46"/>
      <c r="J228" s="46"/>
      <c r="K228" s="46"/>
      <c r="L228" s="46"/>
      <c r="M228" s="46" t="str">
        <f aca="false">IF(OR(B228="",I228=""),"",IFERROR(INDEX('Comment flow'!$C$40:$C$46,MATCH(I228,'Comment flow'!$A$40:$A$46,0)),""))</f>
        <v/>
      </c>
      <c r="N228" s="46" t="str">
        <f aca="false">IF(B228="","",IF(OR(I228="",I228="Open: needs a decision",L228=""),"Open","Closed"))</f>
        <v/>
      </c>
      <c r="O228" s="46"/>
      <c r="P228" s="46" t="str">
        <f aca="false">IF(OR(B228="",I228&lt;&gt;"Save for a later revision"),"",IF(COUNTIF('Deferred edits'!$K$2:$K$201,A228)&gt;0,"Yes","● Add to Deferred edits"))</f>
        <v/>
      </c>
    </row>
    <row r="229" customFormat="false" ht="15" hidden="false" customHeight="false" outlineLevel="0" collapsed="false">
      <c r="A229" s="46" t="s">
        <v>524</v>
      </c>
      <c r="B229" s="46"/>
      <c r="C229" s="46"/>
      <c r="D229" s="46"/>
      <c r="E229" s="46"/>
      <c r="F229" s="46"/>
      <c r="G229" s="46"/>
      <c r="H229" s="46"/>
      <c r="I229" s="46"/>
      <c r="J229" s="46"/>
      <c r="K229" s="46"/>
      <c r="L229" s="46"/>
      <c r="M229" s="46" t="str">
        <f aca="false">IF(OR(B229="",I229=""),"",IFERROR(INDEX('Comment flow'!$C$40:$C$46,MATCH(I229,'Comment flow'!$A$40:$A$46,0)),""))</f>
        <v/>
      </c>
      <c r="N229" s="46" t="str">
        <f aca="false">IF(B229="","",IF(OR(I229="",I229="Open: needs a decision",L229=""),"Open","Closed"))</f>
        <v/>
      </c>
      <c r="O229" s="46"/>
      <c r="P229" s="46" t="str">
        <f aca="false">IF(OR(B229="",I229&lt;&gt;"Save for a later revision"),"",IF(COUNTIF('Deferred edits'!$K$2:$K$201,A229)&gt;0,"Yes","● Add to Deferred edits"))</f>
        <v/>
      </c>
    </row>
    <row r="230" customFormat="false" ht="15" hidden="false" customHeight="false" outlineLevel="0" collapsed="false">
      <c r="A230" s="46" t="s">
        <v>525</v>
      </c>
      <c r="B230" s="46"/>
      <c r="C230" s="46"/>
      <c r="D230" s="46"/>
      <c r="E230" s="46"/>
      <c r="F230" s="46"/>
      <c r="G230" s="46"/>
      <c r="H230" s="46"/>
      <c r="I230" s="46"/>
      <c r="J230" s="46"/>
      <c r="K230" s="46"/>
      <c r="L230" s="46"/>
      <c r="M230" s="46" t="str">
        <f aca="false">IF(OR(B230="",I230=""),"",IFERROR(INDEX('Comment flow'!$C$40:$C$46,MATCH(I230,'Comment flow'!$A$40:$A$46,0)),""))</f>
        <v/>
      </c>
      <c r="N230" s="46" t="str">
        <f aca="false">IF(B230="","",IF(OR(I230="",I230="Open: needs a decision",L230=""),"Open","Closed"))</f>
        <v/>
      </c>
      <c r="O230" s="46"/>
      <c r="P230" s="46" t="str">
        <f aca="false">IF(OR(B230="",I230&lt;&gt;"Save for a later revision"),"",IF(COUNTIF('Deferred edits'!$K$2:$K$201,A230)&gt;0,"Yes","● Add to Deferred edits"))</f>
        <v/>
      </c>
    </row>
    <row r="231" customFormat="false" ht="15" hidden="false" customHeight="false" outlineLevel="0" collapsed="false">
      <c r="A231" s="46" t="s">
        <v>526</v>
      </c>
      <c r="B231" s="46"/>
      <c r="C231" s="46"/>
      <c r="D231" s="46"/>
      <c r="E231" s="46"/>
      <c r="F231" s="46"/>
      <c r="G231" s="46"/>
      <c r="H231" s="46"/>
      <c r="I231" s="46"/>
      <c r="J231" s="46"/>
      <c r="K231" s="46"/>
      <c r="L231" s="46"/>
      <c r="M231" s="46" t="str">
        <f aca="false">IF(OR(B231="",I231=""),"",IFERROR(INDEX('Comment flow'!$C$40:$C$46,MATCH(I231,'Comment flow'!$A$40:$A$46,0)),""))</f>
        <v/>
      </c>
      <c r="N231" s="46" t="str">
        <f aca="false">IF(B231="","",IF(OR(I231="",I231="Open: needs a decision",L231=""),"Open","Closed"))</f>
        <v/>
      </c>
      <c r="O231" s="46"/>
      <c r="P231" s="46" t="str">
        <f aca="false">IF(OR(B231="",I231&lt;&gt;"Save for a later revision"),"",IF(COUNTIF('Deferred edits'!$K$2:$K$201,A231)&gt;0,"Yes","● Add to Deferred edits"))</f>
        <v/>
      </c>
    </row>
    <row r="232" customFormat="false" ht="15" hidden="false" customHeight="false" outlineLevel="0" collapsed="false">
      <c r="A232" s="46" t="s">
        <v>527</v>
      </c>
      <c r="B232" s="46"/>
      <c r="C232" s="46"/>
      <c r="D232" s="46"/>
      <c r="E232" s="46"/>
      <c r="F232" s="46"/>
      <c r="G232" s="46"/>
      <c r="H232" s="46"/>
      <c r="I232" s="46"/>
      <c r="J232" s="46"/>
      <c r="K232" s="46"/>
      <c r="L232" s="46"/>
      <c r="M232" s="46" t="str">
        <f aca="false">IF(OR(B232="",I232=""),"",IFERROR(INDEX('Comment flow'!$C$40:$C$46,MATCH(I232,'Comment flow'!$A$40:$A$46,0)),""))</f>
        <v/>
      </c>
      <c r="N232" s="46" t="str">
        <f aca="false">IF(B232="","",IF(OR(I232="",I232="Open: needs a decision",L232=""),"Open","Closed"))</f>
        <v/>
      </c>
      <c r="O232" s="46"/>
      <c r="P232" s="46" t="str">
        <f aca="false">IF(OR(B232="",I232&lt;&gt;"Save for a later revision"),"",IF(COUNTIF('Deferred edits'!$K$2:$K$201,A232)&gt;0,"Yes","● Add to Deferred edits"))</f>
        <v/>
      </c>
    </row>
    <row r="233" customFormat="false" ht="15" hidden="false" customHeight="false" outlineLevel="0" collapsed="false">
      <c r="A233" s="46" t="s">
        <v>528</v>
      </c>
      <c r="B233" s="46"/>
      <c r="C233" s="46"/>
      <c r="D233" s="46"/>
      <c r="E233" s="46"/>
      <c r="F233" s="46"/>
      <c r="G233" s="46"/>
      <c r="H233" s="46"/>
      <c r="I233" s="46"/>
      <c r="J233" s="46"/>
      <c r="K233" s="46"/>
      <c r="L233" s="46"/>
      <c r="M233" s="46" t="str">
        <f aca="false">IF(OR(B233="",I233=""),"",IFERROR(INDEX('Comment flow'!$C$40:$C$46,MATCH(I233,'Comment flow'!$A$40:$A$46,0)),""))</f>
        <v/>
      </c>
      <c r="N233" s="46" t="str">
        <f aca="false">IF(B233="","",IF(OR(I233="",I233="Open: needs a decision",L233=""),"Open","Closed"))</f>
        <v/>
      </c>
      <c r="O233" s="46"/>
      <c r="P233" s="46" t="str">
        <f aca="false">IF(OR(B233="",I233&lt;&gt;"Save for a later revision"),"",IF(COUNTIF('Deferred edits'!$K$2:$K$201,A233)&gt;0,"Yes","● Add to Deferred edits"))</f>
        <v/>
      </c>
    </row>
    <row r="234" customFormat="false" ht="15" hidden="false" customHeight="false" outlineLevel="0" collapsed="false">
      <c r="A234" s="46" t="s">
        <v>529</v>
      </c>
      <c r="B234" s="46"/>
      <c r="C234" s="46"/>
      <c r="D234" s="46"/>
      <c r="E234" s="46"/>
      <c r="F234" s="46"/>
      <c r="G234" s="46"/>
      <c r="H234" s="46"/>
      <c r="I234" s="46"/>
      <c r="J234" s="46"/>
      <c r="K234" s="46"/>
      <c r="L234" s="46"/>
      <c r="M234" s="46" t="str">
        <f aca="false">IF(OR(B234="",I234=""),"",IFERROR(INDEX('Comment flow'!$C$40:$C$46,MATCH(I234,'Comment flow'!$A$40:$A$46,0)),""))</f>
        <v/>
      </c>
      <c r="N234" s="46" t="str">
        <f aca="false">IF(B234="","",IF(OR(I234="",I234="Open: needs a decision",L234=""),"Open","Closed"))</f>
        <v/>
      </c>
      <c r="O234" s="46"/>
      <c r="P234" s="46" t="str">
        <f aca="false">IF(OR(B234="",I234&lt;&gt;"Save for a later revision"),"",IF(COUNTIF('Deferred edits'!$K$2:$K$201,A234)&gt;0,"Yes","● Add to Deferred edits"))</f>
        <v/>
      </c>
    </row>
    <row r="235" customFormat="false" ht="15" hidden="false" customHeight="false" outlineLevel="0" collapsed="false">
      <c r="A235" s="46" t="s">
        <v>530</v>
      </c>
      <c r="B235" s="46"/>
      <c r="C235" s="46"/>
      <c r="D235" s="46"/>
      <c r="E235" s="46"/>
      <c r="F235" s="46"/>
      <c r="G235" s="46"/>
      <c r="H235" s="46"/>
      <c r="I235" s="46"/>
      <c r="J235" s="46"/>
      <c r="K235" s="46"/>
      <c r="L235" s="46"/>
      <c r="M235" s="46" t="str">
        <f aca="false">IF(OR(B235="",I235=""),"",IFERROR(INDEX('Comment flow'!$C$40:$C$46,MATCH(I235,'Comment flow'!$A$40:$A$46,0)),""))</f>
        <v/>
      </c>
      <c r="N235" s="46" t="str">
        <f aca="false">IF(B235="","",IF(OR(I235="",I235="Open: needs a decision",L235=""),"Open","Closed"))</f>
        <v/>
      </c>
      <c r="O235" s="46"/>
      <c r="P235" s="46" t="str">
        <f aca="false">IF(OR(B235="",I235&lt;&gt;"Save for a later revision"),"",IF(COUNTIF('Deferred edits'!$K$2:$K$201,A235)&gt;0,"Yes","● Add to Deferred edits"))</f>
        <v/>
      </c>
    </row>
    <row r="236" customFormat="false" ht="15" hidden="false" customHeight="false" outlineLevel="0" collapsed="false">
      <c r="A236" s="46" t="s">
        <v>531</v>
      </c>
      <c r="B236" s="46"/>
      <c r="C236" s="46"/>
      <c r="D236" s="46"/>
      <c r="E236" s="46"/>
      <c r="F236" s="46"/>
      <c r="G236" s="46"/>
      <c r="H236" s="46"/>
      <c r="I236" s="46"/>
      <c r="J236" s="46"/>
      <c r="K236" s="46"/>
      <c r="L236" s="46"/>
      <c r="M236" s="46" t="str">
        <f aca="false">IF(OR(B236="",I236=""),"",IFERROR(INDEX('Comment flow'!$C$40:$C$46,MATCH(I236,'Comment flow'!$A$40:$A$46,0)),""))</f>
        <v/>
      </c>
      <c r="N236" s="46" t="str">
        <f aca="false">IF(B236="","",IF(OR(I236="",I236="Open: needs a decision",L236=""),"Open","Closed"))</f>
        <v/>
      </c>
      <c r="O236" s="46"/>
      <c r="P236" s="46" t="str">
        <f aca="false">IF(OR(B236="",I236&lt;&gt;"Save for a later revision"),"",IF(COUNTIF('Deferred edits'!$K$2:$K$201,A236)&gt;0,"Yes","● Add to Deferred edits"))</f>
        <v/>
      </c>
    </row>
    <row r="237" customFormat="false" ht="15" hidden="false" customHeight="false" outlineLevel="0" collapsed="false">
      <c r="A237" s="46" t="s">
        <v>532</v>
      </c>
      <c r="B237" s="46"/>
      <c r="C237" s="46"/>
      <c r="D237" s="46"/>
      <c r="E237" s="46"/>
      <c r="F237" s="46"/>
      <c r="G237" s="46"/>
      <c r="H237" s="46"/>
      <c r="I237" s="46"/>
      <c r="J237" s="46"/>
      <c r="K237" s="46"/>
      <c r="L237" s="46"/>
      <c r="M237" s="46" t="str">
        <f aca="false">IF(OR(B237="",I237=""),"",IFERROR(INDEX('Comment flow'!$C$40:$C$46,MATCH(I237,'Comment flow'!$A$40:$A$46,0)),""))</f>
        <v/>
      </c>
      <c r="N237" s="46" t="str">
        <f aca="false">IF(B237="","",IF(OR(I237="",I237="Open: needs a decision",L237=""),"Open","Closed"))</f>
        <v/>
      </c>
      <c r="O237" s="46"/>
      <c r="P237" s="46" t="str">
        <f aca="false">IF(OR(B237="",I237&lt;&gt;"Save for a later revision"),"",IF(COUNTIF('Deferred edits'!$K$2:$K$201,A237)&gt;0,"Yes","● Add to Deferred edits"))</f>
        <v/>
      </c>
    </row>
    <row r="238" customFormat="false" ht="15" hidden="false" customHeight="false" outlineLevel="0" collapsed="false">
      <c r="A238" s="46" t="s">
        <v>533</v>
      </c>
      <c r="B238" s="46"/>
      <c r="C238" s="46"/>
      <c r="D238" s="46"/>
      <c r="E238" s="46"/>
      <c r="F238" s="46"/>
      <c r="G238" s="46"/>
      <c r="H238" s="46"/>
      <c r="I238" s="46"/>
      <c r="J238" s="46"/>
      <c r="K238" s="46"/>
      <c r="L238" s="46"/>
      <c r="M238" s="46" t="str">
        <f aca="false">IF(OR(B238="",I238=""),"",IFERROR(INDEX('Comment flow'!$C$40:$C$46,MATCH(I238,'Comment flow'!$A$40:$A$46,0)),""))</f>
        <v/>
      </c>
      <c r="N238" s="46" t="str">
        <f aca="false">IF(B238="","",IF(OR(I238="",I238="Open: needs a decision",L238=""),"Open","Closed"))</f>
        <v/>
      </c>
      <c r="O238" s="46"/>
      <c r="P238" s="46" t="str">
        <f aca="false">IF(OR(B238="",I238&lt;&gt;"Save for a later revision"),"",IF(COUNTIF('Deferred edits'!$K$2:$K$201,A238)&gt;0,"Yes","● Add to Deferred edits"))</f>
        <v/>
      </c>
    </row>
    <row r="239" customFormat="false" ht="15" hidden="false" customHeight="false" outlineLevel="0" collapsed="false">
      <c r="A239" s="46" t="s">
        <v>534</v>
      </c>
      <c r="B239" s="46"/>
      <c r="C239" s="46"/>
      <c r="D239" s="46"/>
      <c r="E239" s="46"/>
      <c r="F239" s="46"/>
      <c r="G239" s="46"/>
      <c r="H239" s="46"/>
      <c r="I239" s="46"/>
      <c r="J239" s="46"/>
      <c r="K239" s="46"/>
      <c r="L239" s="46"/>
      <c r="M239" s="46" t="str">
        <f aca="false">IF(OR(B239="",I239=""),"",IFERROR(INDEX('Comment flow'!$C$40:$C$46,MATCH(I239,'Comment flow'!$A$40:$A$46,0)),""))</f>
        <v/>
      </c>
      <c r="N239" s="46" t="str">
        <f aca="false">IF(B239="","",IF(OR(I239="",I239="Open: needs a decision",L239=""),"Open","Closed"))</f>
        <v/>
      </c>
      <c r="O239" s="46"/>
      <c r="P239" s="46" t="str">
        <f aca="false">IF(OR(B239="",I239&lt;&gt;"Save for a later revision"),"",IF(COUNTIF('Deferred edits'!$K$2:$K$201,A239)&gt;0,"Yes","● Add to Deferred edits"))</f>
        <v/>
      </c>
    </row>
    <row r="240" customFormat="false" ht="15" hidden="false" customHeight="false" outlineLevel="0" collapsed="false">
      <c r="A240" s="46" t="s">
        <v>535</v>
      </c>
      <c r="B240" s="46"/>
      <c r="C240" s="46"/>
      <c r="D240" s="46"/>
      <c r="E240" s="46"/>
      <c r="F240" s="46"/>
      <c r="G240" s="46"/>
      <c r="H240" s="46"/>
      <c r="I240" s="46"/>
      <c r="J240" s="46"/>
      <c r="K240" s="46"/>
      <c r="L240" s="46"/>
      <c r="M240" s="46" t="str">
        <f aca="false">IF(OR(B240="",I240=""),"",IFERROR(INDEX('Comment flow'!$C$40:$C$46,MATCH(I240,'Comment flow'!$A$40:$A$46,0)),""))</f>
        <v/>
      </c>
      <c r="N240" s="46" t="str">
        <f aca="false">IF(B240="","",IF(OR(I240="",I240="Open: needs a decision",L240=""),"Open","Closed"))</f>
        <v/>
      </c>
      <c r="O240" s="46"/>
      <c r="P240" s="46" t="str">
        <f aca="false">IF(OR(B240="",I240&lt;&gt;"Save for a later revision"),"",IF(COUNTIF('Deferred edits'!$K$2:$K$201,A240)&gt;0,"Yes","● Add to Deferred edits"))</f>
        <v/>
      </c>
    </row>
    <row r="241" customFormat="false" ht="15" hidden="false" customHeight="false" outlineLevel="0" collapsed="false">
      <c r="A241" s="46" t="s">
        <v>536</v>
      </c>
      <c r="B241" s="46"/>
      <c r="C241" s="46"/>
      <c r="D241" s="46"/>
      <c r="E241" s="46"/>
      <c r="F241" s="46"/>
      <c r="G241" s="46"/>
      <c r="H241" s="46"/>
      <c r="I241" s="46"/>
      <c r="J241" s="46"/>
      <c r="K241" s="46"/>
      <c r="L241" s="46"/>
      <c r="M241" s="46" t="str">
        <f aca="false">IF(OR(B241="",I241=""),"",IFERROR(INDEX('Comment flow'!$C$40:$C$46,MATCH(I241,'Comment flow'!$A$40:$A$46,0)),""))</f>
        <v/>
      </c>
      <c r="N241" s="46" t="str">
        <f aca="false">IF(B241="","",IF(OR(I241="",I241="Open: needs a decision",L241=""),"Open","Closed"))</f>
        <v/>
      </c>
      <c r="O241" s="46"/>
      <c r="P241" s="46" t="str">
        <f aca="false">IF(OR(B241="",I241&lt;&gt;"Save for a later revision"),"",IF(COUNTIF('Deferred edits'!$K$2:$K$201,A241)&gt;0,"Yes","● Add to Deferred edits"))</f>
        <v/>
      </c>
    </row>
    <row r="242" customFormat="false" ht="15" hidden="false" customHeight="false" outlineLevel="0" collapsed="false">
      <c r="A242" s="46" t="s">
        <v>537</v>
      </c>
      <c r="B242" s="46"/>
      <c r="C242" s="46"/>
      <c r="D242" s="46"/>
      <c r="E242" s="46"/>
      <c r="F242" s="46"/>
      <c r="G242" s="46"/>
      <c r="H242" s="46"/>
      <c r="I242" s="46"/>
      <c r="J242" s="46"/>
      <c r="K242" s="46"/>
      <c r="L242" s="46"/>
      <c r="M242" s="46" t="str">
        <f aca="false">IF(OR(B242="",I242=""),"",IFERROR(INDEX('Comment flow'!$C$40:$C$46,MATCH(I242,'Comment flow'!$A$40:$A$46,0)),""))</f>
        <v/>
      </c>
      <c r="N242" s="46" t="str">
        <f aca="false">IF(B242="","",IF(OR(I242="",I242="Open: needs a decision",L242=""),"Open","Closed"))</f>
        <v/>
      </c>
      <c r="O242" s="46"/>
      <c r="P242" s="46" t="str">
        <f aca="false">IF(OR(B242="",I242&lt;&gt;"Save for a later revision"),"",IF(COUNTIF('Deferred edits'!$K$2:$K$201,A242)&gt;0,"Yes","● Add to Deferred edits"))</f>
        <v/>
      </c>
    </row>
    <row r="243" customFormat="false" ht="15" hidden="false" customHeight="false" outlineLevel="0" collapsed="false">
      <c r="A243" s="46" t="s">
        <v>538</v>
      </c>
      <c r="B243" s="46"/>
      <c r="C243" s="46"/>
      <c r="D243" s="46"/>
      <c r="E243" s="46"/>
      <c r="F243" s="46"/>
      <c r="G243" s="46"/>
      <c r="H243" s="46"/>
      <c r="I243" s="46"/>
      <c r="J243" s="46"/>
      <c r="K243" s="46"/>
      <c r="L243" s="46"/>
      <c r="M243" s="46" t="str">
        <f aca="false">IF(OR(B243="",I243=""),"",IFERROR(INDEX('Comment flow'!$C$40:$C$46,MATCH(I243,'Comment flow'!$A$40:$A$46,0)),""))</f>
        <v/>
      </c>
      <c r="N243" s="46" t="str">
        <f aca="false">IF(B243="","",IF(OR(I243="",I243="Open: needs a decision",L243=""),"Open","Closed"))</f>
        <v/>
      </c>
      <c r="O243" s="46"/>
      <c r="P243" s="46" t="str">
        <f aca="false">IF(OR(B243="",I243&lt;&gt;"Save for a later revision"),"",IF(COUNTIF('Deferred edits'!$K$2:$K$201,A243)&gt;0,"Yes","● Add to Deferred edits"))</f>
        <v/>
      </c>
    </row>
    <row r="244" customFormat="false" ht="15" hidden="false" customHeight="false" outlineLevel="0" collapsed="false">
      <c r="A244" s="46" t="s">
        <v>539</v>
      </c>
      <c r="B244" s="46"/>
      <c r="C244" s="46"/>
      <c r="D244" s="46"/>
      <c r="E244" s="46"/>
      <c r="F244" s="46"/>
      <c r="G244" s="46"/>
      <c r="H244" s="46"/>
      <c r="I244" s="46"/>
      <c r="J244" s="46"/>
      <c r="K244" s="46"/>
      <c r="L244" s="46"/>
      <c r="M244" s="46" t="str">
        <f aca="false">IF(OR(B244="",I244=""),"",IFERROR(INDEX('Comment flow'!$C$40:$C$46,MATCH(I244,'Comment flow'!$A$40:$A$46,0)),""))</f>
        <v/>
      </c>
      <c r="N244" s="46" t="str">
        <f aca="false">IF(B244="","",IF(OR(I244="",I244="Open: needs a decision",L244=""),"Open","Closed"))</f>
        <v/>
      </c>
      <c r="O244" s="46"/>
      <c r="P244" s="46" t="str">
        <f aca="false">IF(OR(B244="",I244&lt;&gt;"Save for a later revision"),"",IF(COUNTIF('Deferred edits'!$K$2:$K$201,A244)&gt;0,"Yes","● Add to Deferred edits"))</f>
        <v/>
      </c>
    </row>
    <row r="245" customFormat="false" ht="15" hidden="false" customHeight="false" outlineLevel="0" collapsed="false">
      <c r="A245" s="46" t="s">
        <v>540</v>
      </c>
      <c r="B245" s="46"/>
      <c r="C245" s="46"/>
      <c r="D245" s="46"/>
      <c r="E245" s="46"/>
      <c r="F245" s="46"/>
      <c r="G245" s="46"/>
      <c r="H245" s="46"/>
      <c r="I245" s="46"/>
      <c r="J245" s="46"/>
      <c r="K245" s="46"/>
      <c r="L245" s="46"/>
      <c r="M245" s="46" t="str">
        <f aca="false">IF(OR(B245="",I245=""),"",IFERROR(INDEX('Comment flow'!$C$40:$C$46,MATCH(I245,'Comment flow'!$A$40:$A$46,0)),""))</f>
        <v/>
      </c>
      <c r="N245" s="46" t="str">
        <f aca="false">IF(B245="","",IF(OR(I245="",I245="Open: needs a decision",L245=""),"Open","Closed"))</f>
        <v/>
      </c>
      <c r="O245" s="46"/>
      <c r="P245" s="46" t="str">
        <f aca="false">IF(OR(B245="",I245&lt;&gt;"Save for a later revision"),"",IF(COUNTIF('Deferred edits'!$K$2:$K$201,A245)&gt;0,"Yes","● Add to Deferred edits"))</f>
        <v/>
      </c>
    </row>
    <row r="246" customFormat="false" ht="15" hidden="false" customHeight="false" outlineLevel="0" collapsed="false">
      <c r="A246" s="46" t="s">
        <v>541</v>
      </c>
      <c r="B246" s="46"/>
      <c r="C246" s="46"/>
      <c r="D246" s="46"/>
      <c r="E246" s="46"/>
      <c r="F246" s="46"/>
      <c r="G246" s="46"/>
      <c r="H246" s="46"/>
      <c r="I246" s="46"/>
      <c r="J246" s="46"/>
      <c r="K246" s="46"/>
      <c r="L246" s="46"/>
      <c r="M246" s="46" t="str">
        <f aca="false">IF(OR(B246="",I246=""),"",IFERROR(INDEX('Comment flow'!$C$40:$C$46,MATCH(I246,'Comment flow'!$A$40:$A$46,0)),""))</f>
        <v/>
      </c>
      <c r="N246" s="46" t="str">
        <f aca="false">IF(B246="","",IF(OR(I246="",I246="Open: needs a decision",L246=""),"Open","Closed"))</f>
        <v/>
      </c>
      <c r="O246" s="46"/>
      <c r="P246" s="46" t="str">
        <f aca="false">IF(OR(B246="",I246&lt;&gt;"Save for a later revision"),"",IF(COUNTIF('Deferred edits'!$K$2:$K$201,A246)&gt;0,"Yes","● Add to Deferred edits"))</f>
        <v/>
      </c>
    </row>
    <row r="247" customFormat="false" ht="15" hidden="false" customHeight="false" outlineLevel="0" collapsed="false">
      <c r="A247" s="46" t="s">
        <v>542</v>
      </c>
      <c r="B247" s="46"/>
      <c r="C247" s="46"/>
      <c r="D247" s="46"/>
      <c r="E247" s="46"/>
      <c r="F247" s="46"/>
      <c r="G247" s="46"/>
      <c r="H247" s="46"/>
      <c r="I247" s="46"/>
      <c r="J247" s="46"/>
      <c r="K247" s="46"/>
      <c r="L247" s="46"/>
      <c r="M247" s="46" t="str">
        <f aca="false">IF(OR(B247="",I247=""),"",IFERROR(INDEX('Comment flow'!$C$40:$C$46,MATCH(I247,'Comment flow'!$A$40:$A$46,0)),""))</f>
        <v/>
      </c>
      <c r="N247" s="46" t="str">
        <f aca="false">IF(B247="","",IF(OR(I247="",I247="Open: needs a decision",L247=""),"Open","Closed"))</f>
        <v/>
      </c>
      <c r="O247" s="46"/>
      <c r="P247" s="46" t="str">
        <f aca="false">IF(OR(B247="",I247&lt;&gt;"Save for a later revision"),"",IF(COUNTIF('Deferred edits'!$K$2:$K$201,A247)&gt;0,"Yes","● Add to Deferred edits"))</f>
        <v/>
      </c>
    </row>
    <row r="248" customFormat="false" ht="15" hidden="false" customHeight="false" outlineLevel="0" collapsed="false">
      <c r="A248" s="46" t="s">
        <v>543</v>
      </c>
      <c r="B248" s="46"/>
      <c r="C248" s="46"/>
      <c r="D248" s="46"/>
      <c r="E248" s="46"/>
      <c r="F248" s="46"/>
      <c r="G248" s="46"/>
      <c r="H248" s="46"/>
      <c r="I248" s="46"/>
      <c r="J248" s="46"/>
      <c r="K248" s="46"/>
      <c r="L248" s="46"/>
      <c r="M248" s="46" t="str">
        <f aca="false">IF(OR(B248="",I248=""),"",IFERROR(INDEX('Comment flow'!$C$40:$C$46,MATCH(I248,'Comment flow'!$A$40:$A$46,0)),""))</f>
        <v/>
      </c>
      <c r="N248" s="46" t="str">
        <f aca="false">IF(B248="","",IF(OR(I248="",I248="Open: needs a decision",L248=""),"Open","Closed"))</f>
        <v/>
      </c>
      <c r="O248" s="46"/>
      <c r="P248" s="46" t="str">
        <f aca="false">IF(OR(B248="",I248&lt;&gt;"Save for a later revision"),"",IF(COUNTIF('Deferred edits'!$K$2:$K$201,A248)&gt;0,"Yes","● Add to Deferred edits"))</f>
        <v/>
      </c>
    </row>
    <row r="249" customFormat="false" ht="15" hidden="false" customHeight="false" outlineLevel="0" collapsed="false">
      <c r="A249" s="46" t="s">
        <v>544</v>
      </c>
      <c r="B249" s="46"/>
      <c r="C249" s="46"/>
      <c r="D249" s="46"/>
      <c r="E249" s="46"/>
      <c r="F249" s="46"/>
      <c r="G249" s="46"/>
      <c r="H249" s="46"/>
      <c r="I249" s="46"/>
      <c r="J249" s="46"/>
      <c r="K249" s="46"/>
      <c r="L249" s="46"/>
      <c r="M249" s="46" t="str">
        <f aca="false">IF(OR(B249="",I249=""),"",IFERROR(INDEX('Comment flow'!$C$40:$C$46,MATCH(I249,'Comment flow'!$A$40:$A$46,0)),""))</f>
        <v/>
      </c>
      <c r="N249" s="46" t="str">
        <f aca="false">IF(B249="","",IF(OR(I249="",I249="Open: needs a decision",L249=""),"Open","Closed"))</f>
        <v/>
      </c>
      <c r="O249" s="46"/>
      <c r="P249" s="46" t="str">
        <f aca="false">IF(OR(B249="",I249&lt;&gt;"Save for a later revision"),"",IF(COUNTIF('Deferred edits'!$K$2:$K$201,A249)&gt;0,"Yes","● Add to Deferred edits"))</f>
        <v/>
      </c>
    </row>
    <row r="250" customFormat="false" ht="15" hidden="false" customHeight="false" outlineLevel="0" collapsed="false">
      <c r="A250" s="46" t="s">
        <v>545</v>
      </c>
      <c r="B250" s="46"/>
      <c r="C250" s="46"/>
      <c r="D250" s="46"/>
      <c r="E250" s="46"/>
      <c r="F250" s="46"/>
      <c r="G250" s="46"/>
      <c r="H250" s="46"/>
      <c r="I250" s="46"/>
      <c r="J250" s="46"/>
      <c r="K250" s="46"/>
      <c r="L250" s="46"/>
      <c r="M250" s="46" t="str">
        <f aca="false">IF(OR(B250="",I250=""),"",IFERROR(INDEX('Comment flow'!$C$40:$C$46,MATCH(I250,'Comment flow'!$A$40:$A$46,0)),""))</f>
        <v/>
      </c>
      <c r="N250" s="46" t="str">
        <f aca="false">IF(B250="","",IF(OR(I250="",I250="Open: needs a decision",L250=""),"Open","Closed"))</f>
        <v/>
      </c>
      <c r="O250" s="46"/>
      <c r="P250" s="46" t="str">
        <f aca="false">IF(OR(B250="",I250&lt;&gt;"Save for a later revision"),"",IF(COUNTIF('Deferred edits'!$K$2:$K$201,A250)&gt;0,"Yes","● Add to Deferred edits"))</f>
        <v/>
      </c>
    </row>
    <row r="251" customFormat="false" ht="15" hidden="false" customHeight="false" outlineLevel="0" collapsed="false">
      <c r="A251" s="46" t="s">
        <v>546</v>
      </c>
      <c r="B251" s="46"/>
      <c r="C251" s="46"/>
      <c r="D251" s="46"/>
      <c r="E251" s="46"/>
      <c r="F251" s="46"/>
      <c r="G251" s="46"/>
      <c r="H251" s="46"/>
      <c r="I251" s="46"/>
      <c r="J251" s="46"/>
      <c r="K251" s="46"/>
      <c r="L251" s="46"/>
      <c r="M251" s="46" t="str">
        <f aca="false">IF(OR(B251="",I251=""),"",IFERROR(INDEX('Comment flow'!$C$40:$C$46,MATCH(I251,'Comment flow'!$A$40:$A$46,0)),""))</f>
        <v/>
      </c>
      <c r="N251" s="46" t="str">
        <f aca="false">IF(B251="","",IF(OR(I251="",I251="Open: needs a decision",L251=""),"Open","Closed"))</f>
        <v/>
      </c>
      <c r="O251" s="46"/>
      <c r="P251" s="46" t="str">
        <f aca="false">IF(OR(B251="",I251&lt;&gt;"Save for a later revision"),"",IF(COUNTIF('Deferred edits'!$K$2:$K$201,A251)&gt;0,"Yes","● Add to Deferred edits"))</f>
        <v/>
      </c>
    </row>
    <row r="252" customFormat="false" ht="15" hidden="false" customHeight="false" outlineLevel="0" collapsed="false">
      <c r="A252" s="46" t="s">
        <v>547</v>
      </c>
      <c r="B252" s="46"/>
      <c r="C252" s="46"/>
      <c r="D252" s="46"/>
      <c r="E252" s="46"/>
      <c r="F252" s="46"/>
      <c r="G252" s="46"/>
      <c r="H252" s="46"/>
      <c r="I252" s="46"/>
      <c r="J252" s="46"/>
      <c r="K252" s="46"/>
      <c r="L252" s="46"/>
      <c r="M252" s="46" t="str">
        <f aca="false">IF(OR(B252="",I252=""),"",IFERROR(INDEX('Comment flow'!$C$40:$C$46,MATCH(I252,'Comment flow'!$A$40:$A$46,0)),""))</f>
        <v/>
      </c>
      <c r="N252" s="46" t="str">
        <f aca="false">IF(B252="","",IF(OR(I252="",I252="Open: needs a decision",L252=""),"Open","Closed"))</f>
        <v/>
      </c>
      <c r="O252" s="46"/>
      <c r="P252" s="46" t="str">
        <f aca="false">IF(OR(B252="",I252&lt;&gt;"Save for a later revision"),"",IF(COUNTIF('Deferred edits'!$K$2:$K$201,A252)&gt;0,"Yes","● Add to Deferred edits"))</f>
        <v/>
      </c>
    </row>
    <row r="253" customFormat="false" ht="15" hidden="false" customHeight="false" outlineLevel="0" collapsed="false">
      <c r="A253" s="46" t="s">
        <v>548</v>
      </c>
      <c r="B253" s="46"/>
      <c r="C253" s="46"/>
      <c r="D253" s="46"/>
      <c r="E253" s="46"/>
      <c r="F253" s="46"/>
      <c r="G253" s="46"/>
      <c r="H253" s="46"/>
      <c r="I253" s="46"/>
      <c r="J253" s="46"/>
      <c r="K253" s="46"/>
      <c r="L253" s="46"/>
      <c r="M253" s="46" t="str">
        <f aca="false">IF(OR(B253="",I253=""),"",IFERROR(INDEX('Comment flow'!$C$40:$C$46,MATCH(I253,'Comment flow'!$A$40:$A$46,0)),""))</f>
        <v/>
      </c>
      <c r="N253" s="46" t="str">
        <f aca="false">IF(B253="","",IF(OR(I253="",I253="Open: needs a decision",L253=""),"Open","Closed"))</f>
        <v/>
      </c>
      <c r="O253" s="46"/>
      <c r="P253" s="46" t="str">
        <f aca="false">IF(OR(B253="",I253&lt;&gt;"Save for a later revision"),"",IF(COUNTIF('Deferred edits'!$K$2:$K$201,A253)&gt;0,"Yes","● Add to Deferred edits"))</f>
        <v/>
      </c>
    </row>
    <row r="254" customFormat="false" ht="15" hidden="false" customHeight="false" outlineLevel="0" collapsed="false">
      <c r="A254" s="46" t="s">
        <v>549</v>
      </c>
      <c r="B254" s="46"/>
      <c r="C254" s="46"/>
      <c r="D254" s="46"/>
      <c r="E254" s="46"/>
      <c r="F254" s="46"/>
      <c r="G254" s="46"/>
      <c r="H254" s="46"/>
      <c r="I254" s="46"/>
      <c r="J254" s="46"/>
      <c r="K254" s="46"/>
      <c r="L254" s="46"/>
      <c r="M254" s="46" t="str">
        <f aca="false">IF(OR(B254="",I254=""),"",IFERROR(INDEX('Comment flow'!$C$40:$C$46,MATCH(I254,'Comment flow'!$A$40:$A$46,0)),""))</f>
        <v/>
      </c>
      <c r="N254" s="46" t="str">
        <f aca="false">IF(B254="","",IF(OR(I254="",I254="Open: needs a decision",L254=""),"Open","Closed"))</f>
        <v/>
      </c>
      <c r="O254" s="46"/>
      <c r="P254" s="46" t="str">
        <f aca="false">IF(OR(B254="",I254&lt;&gt;"Save for a later revision"),"",IF(COUNTIF('Deferred edits'!$K$2:$K$201,A254)&gt;0,"Yes","● Add to Deferred edits"))</f>
        <v/>
      </c>
    </row>
    <row r="255" customFormat="false" ht="15" hidden="false" customHeight="false" outlineLevel="0" collapsed="false">
      <c r="A255" s="46" t="s">
        <v>550</v>
      </c>
      <c r="B255" s="46"/>
      <c r="C255" s="46"/>
      <c r="D255" s="46"/>
      <c r="E255" s="46"/>
      <c r="F255" s="46"/>
      <c r="G255" s="46"/>
      <c r="H255" s="46"/>
      <c r="I255" s="46"/>
      <c r="J255" s="46"/>
      <c r="K255" s="46"/>
      <c r="L255" s="46"/>
      <c r="M255" s="46" t="str">
        <f aca="false">IF(OR(B255="",I255=""),"",IFERROR(INDEX('Comment flow'!$C$40:$C$46,MATCH(I255,'Comment flow'!$A$40:$A$46,0)),""))</f>
        <v/>
      </c>
      <c r="N255" s="46" t="str">
        <f aca="false">IF(B255="","",IF(OR(I255="",I255="Open: needs a decision",L255=""),"Open","Closed"))</f>
        <v/>
      </c>
      <c r="O255" s="46"/>
      <c r="P255" s="46" t="str">
        <f aca="false">IF(OR(B255="",I255&lt;&gt;"Save for a later revision"),"",IF(COUNTIF('Deferred edits'!$K$2:$K$201,A255)&gt;0,"Yes","● Add to Deferred edits"))</f>
        <v/>
      </c>
    </row>
    <row r="256" customFormat="false" ht="15" hidden="false" customHeight="false" outlineLevel="0" collapsed="false">
      <c r="A256" s="46" t="s">
        <v>551</v>
      </c>
      <c r="B256" s="46"/>
      <c r="C256" s="46"/>
      <c r="D256" s="46"/>
      <c r="E256" s="46"/>
      <c r="F256" s="46"/>
      <c r="G256" s="46"/>
      <c r="H256" s="46"/>
      <c r="I256" s="46"/>
      <c r="J256" s="46"/>
      <c r="K256" s="46"/>
      <c r="L256" s="46"/>
      <c r="M256" s="46" t="str">
        <f aca="false">IF(OR(B256="",I256=""),"",IFERROR(INDEX('Comment flow'!$C$40:$C$46,MATCH(I256,'Comment flow'!$A$40:$A$46,0)),""))</f>
        <v/>
      </c>
      <c r="N256" s="46" t="str">
        <f aca="false">IF(B256="","",IF(OR(I256="",I256="Open: needs a decision",L256=""),"Open","Closed"))</f>
        <v/>
      </c>
      <c r="O256" s="46"/>
      <c r="P256" s="46" t="str">
        <f aca="false">IF(OR(B256="",I256&lt;&gt;"Save for a later revision"),"",IF(COUNTIF('Deferred edits'!$K$2:$K$201,A256)&gt;0,"Yes","● Add to Deferred edits"))</f>
        <v/>
      </c>
    </row>
    <row r="257" customFormat="false" ht="15" hidden="false" customHeight="false" outlineLevel="0" collapsed="false">
      <c r="A257" s="46" t="s">
        <v>552</v>
      </c>
      <c r="B257" s="46"/>
      <c r="C257" s="46"/>
      <c r="D257" s="46"/>
      <c r="E257" s="46"/>
      <c r="F257" s="46"/>
      <c r="G257" s="46"/>
      <c r="H257" s="46"/>
      <c r="I257" s="46"/>
      <c r="J257" s="46"/>
      <c r="K257" s="46"/>
      <c r="L257" s="46"/>
      <c r="M257" s="46" t="str">
        <f aca="false">IF(OR(B257="",I257=""),"",IFERROR(INDEX('Comment flow'!$C$40:$C$46,MATCH(I257,'Comment flow'!$A$40:$A$46,0)),""))</f>
        <v/>
      </c>
      <c r="N257" s="46" t="str">
        <f aca="false">IF(B257="","",IF(OR(I257="",I257="Open: needs a decision",L257=""),"Open","Closed"))</f>
        <v/>
      </c>
      <c r="O257" s="46"/>
      <c r="P257" s="46" t="str">
        <f aca="false">IF(OR(B257="",I257&lt;&gt;"Save for a later revision"),"",IF(COUNTIF('Deferred edits'!$K$2:$K$201,A257)&gt;0,"Yes","● Add to Deferred edits"))</f>
        <v/>
      </c>
    </row>
    <row r="258" customFormat="false" ht="15" hidden="false" customHeight="false" outlineLevel="0" collapsed="false">
      <c r="A258" s="46" t="s">
        <v>553</v>
      </c>
      <c r="B258" s="46"/>
      <c r="C258" s="46"/>
      <c r="D258" s="46"/>
      <c r="E258" s="46"/>
      <c r="F258" s="46"/>
      <c r="G258" s="46"/>
      <c r="H258" s="46"/>
      <c r="I258" s="46"/>
      <c r="J258" s="46"/>
      <c r="K258" s="46"/>
      <c r="L258" s="46"/>
      <c r="M258" s="46" t="str">
        <f aca="false">IF(OR(B258="",I258=""),"",IFERROR(INDEX('Comment flow'!$C$40:$C$46,MATCH(I258,'Comment flow'!$A$40:$A$46,0)),""))</f>
        <v/>
      </c>
      <c r="N258" s="46" t="str">
        <f aca="false">IF(B258="","",IF(OR(I258="",I258="Open: needs a decision",L258=""),"Open","Closed"))</f>
        <v/>
      </c>
      <c r="O258" s="46"/>
      <c r="P258" s="46" t="str">
        <f aca="false">IF(OR(B258="",I258&lt;&gt;"Save for a later revision"),"",IF(COUNTIF('Deferred edits'!$K$2:$K$201,A258)&gt;0,"Yes","● Add to Deferred edits"))</f>
        <v/>
      </c>
    </row>
    <row r="259" customFormat="false" ht="15" hidden="false" customHeight="false" outlineLevel="0" collapsed="false">
      <c r="A259" s="46" t="s">
        <v>554</v>
      </c>
      <c r="B259" s="46"/>
      <c r="C259" s="46"/>
      <c r="D259" s="46"/>
      <c r="E259" s="46"/>
      <c r="F259" s="46"/>
      <c r="G259" s="46"/>
      <c r="H259" s="46"/>
      <c r="I259" s="46"/>
      <c r="J259" s="46"/>
      <c r="K259" s="46"/>
      <c r="L259" s="46"/>
      <c r="M259" s="46" t="str">
        <f aca="false">IF(OR(B259="",I259=""),"",IFERROR(INDEX('Comment flow'!$C$40:$C$46,MATCH(I259,'Comment flow'!$A$40:$A$46,0)),""))</f>
        <v/>
      </c>
      <c r="N259" s="46" t="str">
        <f aca="false">IF(B259="","",IF(OR(I259="",I259="Open: needs a decision",L259=""),"Open","Closed"))</f>
        <v/>
      </c>
      <c r="O259" s="46"/>
      <c r="P259" s="46" t="str">
        <f aca="false">IF(OR(B259="",I259&lt;&gt;"Save for a later revision"),"",IF(COUNTIF('Deferred edits'!$K$2:$K$201,A259)&gt;0,"Yes","● Add to Deferred edits"))</f>
        <v/>
      </c>
    </row>
    <row r="260" customFormat="false" ht="15" hidden="false" customHeight="false" outlineLevel="0" collapsed="false">
      <c r="A260" s="46" t="s">
        <v>555</v>
      </c>
      <c r="B260" s="46"/>
      <c r="C260" s="46"/>
      <c r="D260" s="46"/>
      <c r="E260" s="46"/>
      <c r="F260" s="46"/>
      <c r="G260" s="46"/>
      <c r="H260" s="46"/>
      <c r="I260" s="46"/>
      <c r="J260" s="46"/>
      <c r="K260" s="46"/>
      <c r="L260" s="46"/>
      <c r="M260" s="46" t="str">
        <f aca="false">IF(OR(B260="",I260=""),"",IFERROR(INDEX('Comment flow'!$C$40:$C$46,MATCH(I260,'Comment flow'!$A$40:$A$46,0)),""))</f>
        <v/>
      </c>
      <c r="N260" s="46" t="str">
        <f aca="false">IF(B260="","",IF(OR(I260="",I260="Open: needs a decision",L260=""),"Open","Closed"))</f>
        <v/>
      </c>
      <c r="O260" s="46"/>
      <c r="P260" s="46" t="str">
        <f aca="false">IF(OR(B260="",I260&lt;&gt;"Save for a later revision"),"",IF(COUNTIF('Deferred edits'!$K$2:$K$201,A260)&gt;0,"Yes","● Add to Deferred edits"))</f>
        <v/>
      </c>
    </row>
    <row r="261" customFormat="false" ht="15" hidden="false" customHeight="false" outlineLevel="0" collapsed="false">
      <c r="A261" s="46" t="s">
        <v>556</v>
      </c>
      <c r="B261" s="46"/>
      <c r="C261" s="46"/>
      <c r="D261" s="46"/>
      <c r="E261" s="46"/>
      <c r="F261" s="46"/>
      <c r="G261" s="46"/>
      <c r="H261" s="46"/>
      <c r="I261" s="46"/>
      <c r="J261" s="46"/>
      <c r="K261" s="46"/>
      <c r="L261" s="46"/>
      <c r="M261" s="46" t="str">
        <f aca="false">IF(OR(B261="",I261=""),"",IFERROR(INDEX('Comment flow'!$C$40:$C$46,MATCH(I261,'Comment flow'!$A$40:$A$46,0)),""))</f>
        <v/>
      </c>
      <c r="N261" s="46" t="str">
        <f aca="false">IF(B261="","",IF(OR(I261="",I261="Open: needs a decision",L261=""),"Open","Closed"))</f>
        <v/>
      </c>
      <c r="O261" s="46"/>
      <c r="P261" s="46" t="str">
        <f aca="false">IF(OR(B261="",I261&lt;&gt;"Save for a later revision"),"",IF(COUNTIF('Deferred edits'!$K$2:$K$201,A261)&gt;0,"Yes","● Add to Deferred edits"))</f>
        <v/>
      </c>
    </row>
    <row r="262" customFormat="false" ht="15" hidden="false" customHeight="false" outlineLevel="0" collapsed="false">
      <c r="A262" s="46" t="s">
        <v>557</v>
      </c>
      <c r="B262" s="46"/>
      <c r="C262" s="46"/>
      <c r="D262" s="46"/>
      <c r="E262" s="46"/>
      <c r="F262" s="46"/>
      <c r="G262" s="46"/>
      <c r="H262" s="46"/>
      <c r="I262" s="46"/>
      <c r="J262" s="46"/>
      <c r="K262" s="46"/>
      <c r="L262" s="46"/>
      <c r="M262" s="46" t="str">
        <f aca="false">IF(OR(B262="",I262=""),"",IFERROR(INDEX('Comment flow'!$C$40:$C$46,MATCH(I262,'Comment flow'!$A$40:$A$46,0)),""))</f>
        <v/>
      </c>
      <c r="N262" s="46" t="str">
        <f aca="false">IF(B262="","",IF(OR(I262="",I262="Open: needs a decision",L262=""),"Open","Closed"))</f>
        <v/>
      </c>
      <c r="O262" s="46"/>
      <c r="P262" s="46" t="str">
        <f aca="false">IF(OR(B262="",I262&lt;&gt;"Save for a later revision"),"",IF(COUNTIF('Deferred edits'!$K$2:$K$201,A262)&gt;0,"Yes","● Add to Deferred edits"))</f>
        <v/>
      </c>
    </row>
    <row r="263" customFormat="false" ht="15" hidden="false" customHeight="false" outlineLevel="0" collapsed="false">
      <c r="A263" s="46" t="s">
        <v>558</v>
      </c>
      <c r="B263" s="46"/>
      <c r="C263" s="46"/>
      <c r="D263" s="46"/>
      <c r="E263" s="46"/>
      <c r="F263" s="46"/>
      <c r="G263" s="46"/>
      <c r="H263" s="46"/>
      <c r="I263" s="46"/>
      <c r="J263" s="46"/>
      <c r="K263" s="46"/>
      <c r="L263" s="46"/>
      <c r="M263" s="46" t="str">
        <f aca="false">IF(OR(B263="",I263=""),"",IFERROR(INDEX('Comment flow'!$C$40:$C$46,MATCH(I263,'Comment flow'!$A$40:$A$46,0)),""))</f>
        <v/>
      </c>
      <c r="N263" s="46" t="str">
        <f aca="false">IF(B263="","",IF(OR(I263="",I263="Open: needs a decision",L263=""),"Open","Closed"))</f>
        <v/>
      </c>
      <c r="O263" s="46"/>
      <c r="P263" s="46" t="str">
        <f aca="false">IF(OR(B263="",I263&lt;&gt;"Save for a later revision"),"",IF(COUNTIF('Deferred edits'!$K$2:$K$201,A263)&gt;0,"Yes","● Add to Deferred edits"))</f>
        <v/>
      </c>
    </row>
    <row r="264" customFormat="false" ht="15" hidden="false" customHeight="false" outlineLevel="0" collapsed="false">
      <c r="A264" s="46" t="s">
        <v>559</v>
      </c>
      <c r="B264" s="46"/>
      <c r="C264" s="46"/>
      <c r="D264" s="46"/>
      <c r="E264" s="46"/>
      <c r="F264" s="46"/>
      <c r="G264" s="46"/>
      <c r="H264" s="46"/>
      <c r="I264" s="46"/>
      <c r="J264" s="46"/>
      <c r="K264" s="46"/>
      <c r="L264" s="46"/>
      <c r="M264" s="46" t="str">
        <f aca="false">IF(OR(B264="",I264=""),"",IFERROR(INDEX('Comment flow'!$C$40:$C$46,MATCH(I264,'Comment flow'!$A$40:$A$46,0)),""))</f>
        <v/>
      </c>
      <c r="N264" s="46" t="str">
        <f aca="false">IF(B264="","",IF(OR(I264="",I264="Open: needs a decision",L264=""),"Open","Closed"))</f>
        <v/>
      </c>
      <c r="O264" s="46"/>
      <c r="P264" s="46" t="str">
        <f aca="false">IF(OR(B264="",I264&lt;&gt;"Save for a later revision"),"",IF(COUNTIF('Deferred edits'!$K$2:$K$201,A264)&gt;0,"Yes","● Add to Deferred edits"))</f>
        <v/>
      </c>
    </row>
    <row r="265" customFormat="false" ht="15" hidden="false" customHeight="false" outlineLevel="0" collapsed="false">
      <c r="A265" s="46" t="s">
        <v>560</v>
      </c>
      <c r="B265" s="46"/>
      <c r="C265" s="46"/>
      <c r="D265" s="46"/>
      <c r="E265" s="46"/>
      <c r="F265" s="46"/>
      <c r="G265" s="46"/>
      <c r="H265" s="46"/>
      <c r="I265" s="46"/>
      <c r="J265" s="46"/>
      <c r="K265" s="46"/>
      <c r="L265" s="46"/>
      <c r="M265" s="46" t="str">
        <f aca="false">IF(OR(B265="",I265=""),"",IFERROR(INDEX('Comment flow'!$C$40:$C$46,MATCH(I265,'Comment flow'!$A$40:$A$46,0)),""))</f>
        <v/>
      </c>
      <c r="N265" s="46" t="str">
        <f aca="false">IF(B265="","",IF(OR(I265="",I265="Open: needs a decision",L265=""),"Open","Closed"))</f>
        <v/>
      </c>
      <c r="O265" s="46"/>
      <c r="P265" s="46" t="str">
        <f aca="false">IF(OR(B265="",I265&lt;&gt;"Save for a later revision"),"",IF(COUNTIF('Deferred edits'!$K$2:$K$201,A265)&gt;0,"Yes","● Add to Deferred edits"))</f>
        <v/>
      </c>
    </row>
    <row r="266" customFormat="false" ht="15" hidden="false" customHeight="false" outlineLevel="0" collapsed="false">
      <c r="A266" s="46" t="s">
        <v>561</v>
      </c>
      <c r="B266" s="46"/>
      <c r="C266" s="46"/>
      <c r="D266" s="46"/>
      <c r="E266" s="46"/>
      <c r="F266" s="46"/>
      <c r="G266" s="46"/>
      <c r="H266" s="46"/>
      <c r="I266" s="46"/>
      <c r="J266" s="46"/>
      <c r="K266" s="46"/>
      <c r="L266" s="46"/>
      <c r="M266" s="46" t="str">
        <f aca="false">IF(OR(B266="",I266=""),"",IFERROR(INDEX('Comment flow'!$C$40:$C$46,MATCH(I266,'Comment flow'!$A$40:$A$46,0)),""))</f>
        <v/>
      </c>
      <c r="N266" s="46" t="str">
        <f aca="false">IF(B266="","",IF(OR(I266="",I266="Open: needs a decision",L266=""),"Open","Closed"))</f>
        <v/>
      </c>
      <c r="O266" s="46"/>
      <c r="P266" s="46" t="str">
        <f aca="false">IF(OR(B266="",I266&lt;&gt;"Save for a later revision"),"",IF(COUNTIF('Deferred edits'!$K$2:$K$201,A266)&gt;0,"Yes","● Add to Deferred edits"))</f>
        <v/>
      </c>
    </row>
    <row r="267" customFormat="false" ht="15" hidden="false" customHeight="false" outlineLevel="0" collapsed="false">
      <c r="A267" s="46" t="s">
        <v>562</v>
      </c>
      <c r="B267" s="46"/>
      <c r="C267" s="46"/>
      <c r="D267" s="46"/>
      <c r="E267" s="46"/>
      <c r="F267" s="46"/>
      <c r="G267" s="46"/>
      <c r="H267" s="46"/>
      <c r="I267" s="46"/>
      <c r="J267" s="46"/>
      <c r="K267" s="46"/>
      <c r="L267" s="46"/>
      <c r="M267" s="46" t="str">
        <f aca="false">IF(OR(B267="",I267=""),"",IFERROR(INDEX('Comment flow'!$C$40:$C$46,MATCH(I267,'Comment flow'!$A$40:$A$46,0)),""))</f>
        <v/>
      </c>
      <c r="N267" s="46" t="str">
        <f aca="false">IF(B267="","",IF(OR(I267="",I267="Open: needs a decision",L267=""),"Open","Closed"))</f>
        <v/>
      </c>
      <c r="O267" s="46"/>
      <c r="P267" s="46" t="str">
        <f aca="false">IF(OR(B267="",I267&lt;&gt;"Save for a later revision"),"",IF(COUNTIF('Deferred edits'!$K$2:$K$201,A267)&gt;0,"Yes","● Add to Deferred edits"))</f>
        <v/>
      </c>
    </row>
    <row r="268" customFormat="false" ht="15" hidden="false" customHeight="false" outlineLevel="0" collapsed="false">
      <c r="A268" s="46" t="s">
        <v>563</v>
      </c>
      <c r="B268" s="46"/>
      <c r="C268" s="46"/>
      <c r="D268" s="46"/>
      <c r="E268" s="46"/>
      <c r="F268" s="46"/>
      <c r="G268" s="46"/>
      <c r="H268" s="46"/>
      <c r="I268" s="46"/>
      <c r="J268" s="46"/>
      <c r="K268" s="46"/>
      <c r="L268" s="46"/>
      <c r="M268" s="46" t="str">
        <f aca="false">IF(OR(B268="",I268=""),"",IFERROR(INDEX('Comment flow'!$C$40:$C$46,MATCH(I268,'Comment flow'!$A$40:$A$46,0)),""))</f>
        <v/>
      </c>
      <c r="N268" s="46" t="str">
        <f aca="false">IF(B268="","",IF(OR(I268="",I268="Open: needs a decision",L268=""),"Open","Closed"))</f>
        <v/>
      </c>
      <c r="O268" s="46"/>
      <c r="P268" s="46" t="str">
        <f aca="false">IF(OR(B268="",I268&lt;&gt;"Save for a later revision"),"",IF(COUNTIF('Deferred edits'!$K$2:$K$201,A268)&gt;0,"Yes","● Add to Deferred edits"))</f>
        <v/>
      </c>
    </row>
    <row r="269" customFormat="false" ht="15" hidden="false" customHeight="false" outlineLevel="0" collapsed="false">
      <c r="A269" s="46" t="s">
        <v>564</v>
      </c>
      <c r="B269" s="46"/>
      <c r="C269" s="46"/>
      <c r="D269" s="46"/>
      <c r="E269" s="46"/>
      <c r="F269" s="46"/>
      <c r="G269" s="46"/>
      <c r="H269" s="46"/>
      <c r="I269" s="46"/>
      <c r="J269" s="46"/>
      <c r="K269" s="46"/>
      <c r="L269" s="46"/>
      <c r="M269" s="46" t="str">
        <f aca="false">IF(OR(B269="",I269=""),"",IFERROR(INDEX('Comment flow'!$C$40:$C$46,MATCH(I269,'Comment flow'!$A$40:$A$46,0)),""))</f>
        <v/>
      </c>
      <c r="N269" s="46" t="str">
        <f aca="false">IF(B269="","",IF(OR(I269="",I269="Open: needs a decision",L269=""),"Open","Closed"))</f>
        <v/>
      </c>
      <c r="O269" s="46"/>
      <c r="P269" s="46" t="str">
        <f aca="false">IF(OR(B269="",I269&lt;&gt;"Save for a later revision"),"",IF(COUNTIF('Deferred edits'!$K$2:$K$201,A269)&gt;0,"Yes","● Add to Deferred edits"))</f>
        <v/>
      </c>
    </row>
    <row r="270" customFormat="false" ht="15" hidden="false" customHeight="false" outlineLevel="0" collapsed="false">
      <c r="A270" s="46" t="s">
        <v>565</v>
      </c>
      <c r="B270" s="46"/>
      <c r="C270" s="46"/>
      <c r="D270" s="46"/>
      <c r="E270" s="46"/>
      <c r="F270" s="46"/>
      <c r="G270" s="46"/>
      <c r="H270" s="46"/>
      <c r="I270" s="46"/>
      <c r="J270" s="46"/>
      <c r="K270" s="46"/>
      <c r="L270" s="46"/>
      <c r="M270" s="46" t="str">
        <f aca="false">IF(OR(B270="",I270=""),"",IFERROR(INDEX('Comment flow'!$C$40:$C$46,MATCH(I270,'Comment flow'!$A$40:$A$46,0)),""))</f>
        <v/>
      </c>
      <c r="N270" s="46" t="str">
        <f aca="false">IF(B270="","",IF(OR(I270="",I270="Open: needs a decision",L270=""),"Open","Closed"))</f>
        <v/>
      </c>
      <c r="O270" s="46"/>
      <c r="P270" s="46" t="str">
        <f aca="false">IF(OR(B270="",I270&lt;&gt;"Save for a later revision"),"",IF(COUNTIF('Deferred edits'!$K$2:$K$201,A270)&gt;0,"Yes","● Add to Deferred edits"))</f>
        <v/>
      </c>
    </row>
    <row r="271" customFormat="false" ht="15" hidden="false" customHeight="false" outlineLevel="0" collapsed="false">
      <c r="A271" s="46" t="s">
        <v>566</v>
      </c>
      <c r="B271" s="46"/>
      <c r="C271" s="46"/>
      <c r="D271" s="46"/>
      <c r="E271" s="46"/>
      <c r="F271" s="46"/>
      <c r="G271" s="46"/>
      <c r="H271" s="46"/>
      <c r="I271" s="46"/>
      <c r="J271" s="46"/>
      <c r="K271" s="46"/>
      <c r="L271" s="46"/>
      <c r="M271" s="46" t="str">
        <f aca="false">IF(OR(B271="",I271=""),"",IFERROR(INDEX('Comment flow'!$C$40:$C$46,MATCH(I271,'Comment flow'!$A$40:$A$46,0)),""))</f>
        <v/>
      </c>
      <c r="N271" s="46" t="str">
        <f aca="false">IF(B271="","",IF(OR(I271="",I271="Open: needs a decision",L271=""),"Open","Closed"))</f>
        <v/>
      </c>
      <c r="O271" s="46"/>
      <c r="P271" s="46" t="str">
        <f aca="false">IF(OR(B271="",I271&lt;&gt;"Save for a later revision"),"",IF(COUNTIF('Deferred edits'!$K$2:$K$201,A271)&gt;0,"Yes","● Add to Deferred edits"))</f>
        <v/>
      </c>
    </row>
    <row r="272" customFormat="false" ht="15" hidden="false" customHeight="false" outlineLevel="0" collapsed="false">
      <c r="A272" s="46" t="s">
        <v>567</v>
      </c>
      <c r="B272" s="46"/>
      <c r="C272" s="46"/>
      <c r="D272" s="46"/>
      <c r="E272" s="46"/>
      <c r="F272" s="46"/>
      <c r="G272" s="46"/>
      <c r="H272" s="46"/>
      <c r="I272" s="46"/>
      <c r="J272" s="46"/>
      <c r="K272" s="46"/>
      <c r="L272" s="46"/>
      <c r="M272" s="46" t="str">
        <f aca="false">IF(OR(B272="",I272=""),"",IFERROR(INDEX('Comment flow'!$C$40:$C$46,MATCH(I272,'Comment flow'!$A$40:$A$46,0)),""))</f>
        <v/>
      </c>
      <c r="N272" s="46" t="str">
        <f aca="false">IF(B272="","",IF(OR(I272="",I272="Open: needs a decision",L272=""),"Open","Closed"))</f>
        <v/>
      </c>
      <c r="O272" s="46"/>
      <c r="P272" s="46" t="str">
        <f aca="false">IF(OR(B272="",I272&lt;&gt;"Save for a later revision"),"",IF(COUNTIF('Deferred edits'!$K$2:$K$201,A272)&gt;0,"Yes","● Add to Deferred edits"))</f>
        <v/>
      </c>
    </row>
    <row r="273" customFormat="false" ht="15" hidden="false" customHeight="false" outlineLevel="0" collapsed="false">
      <c r="A273" s="46" t="s">
        <v>568</v>
      </c>
      <c r="B273" s="46"/>
      <c r="C273" s="46"/>
      <c r="D273" s="46"/>
      <c r="E273" s="46"/>
      <c r="F273" s="46"/>
      <c r="G273" s="46"/>
      <c r="H273" s="46"/>
      <c r="I273" s="46"/>
      <c r="J273" s="46"/>
      <c r="K273" s="46"/>
      <c r="L273" s="46"/>
      <c r="M273" s="46" t="str">
        <f aca="false">IF(OR(B273="",I273=""),"",IFERROR(INDEX('Comment flow'!$C$40:$C$46,MATCH(I273,'Comment flow'!$A$40:$A$46,0)),""))</f>
        <v/>
      </c>
      <c r="N273" s="46" t="str">
        <f aca="false">IF(B273="","",IF(OR(I273="",I273="Open: needs a decision",L273=""),"Open","Closed"))</f>
        <v/>
      </c>
      <c r="O273" s="46"/>
      <c r="P273" s="46" t="str">
        <f aca="false">IF(OR(B273="",I273&lt;&gt;"Save for a later revision"),"",IF(COUNTIF('Deferred edits'!$K$2:$K$201,A273)&gt;0,"Yes","● Add to Deferred edits"))</f>
        <v/>
      </c>
    </row>
    <row r="274" customFormat="false" ht="15" hidden="false" customHeight="false" outlineLevel="0" collapsed="false">
      <c r="A274" s="46" t="s">
        <v>569</v>
      </c>
      <c r="B274" s="46"/>
      <c r="C274" s="46"/>
      <c r="D274" s="46"/>
      <c r="E274" s="46"/>
      <c r="F274" s="46"/>
      <c r="G274" s="46"/>
      <c r="H274" s="46"/>
      <c r="I274" s="46"/>
      <c r="J274" s="46"/>
      <c r="K274" s="46"/>
      <c r="L274" s="46"/>
      <c r="M274" s="46" t="str">
        <f aca="false">IF(OR(B274="",I274=""),"",IFERROR(INDEX('Comment flow'!$C$40:$C$46,MATCH(I274,'Comment flow'!$A$40:$A$46,0)),""))</f>
        <v/>
      </c>
      <c r="N274" s="46" t="str">
        <f aca="false">IF(B274="","",IF(OR(I274="",I274="Open: needs a decision",L274=""),"Open","Closed"))</f>
        <v/>
      </c>
      <c r="O274" s="46"/>
      <c r="P274" s="46" t="str">
        <f aca="false">IF(OR(B274="",I274&lt;&gt;"Save for a later revision"),"",IF(COUNTIF('Deferred edits'!$K$2:$K$201,A274)&gt;0,"Yes","● Add to Deferred edits"))</f>
        <v/>
      </c>
    </row>
    <row r="275" customFormat="false" ht="15" hidden="false" customHeight="false" outlineLevel="0" collapsed="false">
      <c r="A275" s="46" t="s">
        <v>570</v>
      </c>
      <c r="B275" s="46"/>
      <c r="C275" s="46"/>
      <c r="D275" s="46"/>
      <c r="E275" s="46"/>
      <c r="F275" s="46"/>
      <c r="G275" s="46"/>
      <c r="H275" s="46"/>
      <c r="I275" s="46"/>
      <c r="J275" s="46"/>
      <c r="K275" s="46"/>
      <c r="L275" s="46"/>
      <c r="M275" s="46" t="str">
        <f aca="false">IF(OR(B275="",I275=""),"",IFERROR(INDEX('Comment flow'!$C$40:$C$46,MATCH(I275,'Comment flow'!$A$40:$A$46,0)),""))</f>
        <v/>
      </c>
      <c r="N275" s="46" t="str">
        <f aca="false">IF(B275="","",IF(OR(I275="",I275="Open: needs a decision",L275=""),"Open","Closed"))</f>
        <v/>
      </c>
      <c r="O275" s="46"/>
      <c r="P275" s="46" t="str">
        <f aca="false">IF(OR(B275="",I275&lt;&gt;"Save for a later revision"),"",IF(COUNTIF('Deferred edits'!$K$2:$K$201,A275)&gt;0,"Yes","● Add to Deferred edits"))</f>
        <v/>
      </c>
    </row>
    <row r="276" customFormat="false" ht="15" hidden="false" customHeight="false" outlineLevel="0" collapsed="false">
      <c r="A276" s="46" t="s">
        <v>571</v>
      </c>
      <c r="B276" s="46"/>
      <c r="C276" s="46"/>
      <c r="D276" s="46"/>
      <c r="E276" s="46"/>
      <c r="F276" s="46"/>
      <c r="G276" s="46"/>
      <c r="H276" s="46"/>
      <c r="I276" s="46"/>
      <c r="J276" s="46"/>
      <c r="K276" s="46"/>
      <c r="L276" s="46"/>
      <c r="M276" s="46" t="str">
        <f aca="false">IF(OR(B276="",I276=""),"",IFERROR(INDEX('Comment flow'!$C$40:$C$46,MATCH(I276,'Comment flow'!$A$40:$A$46,0)),""))</f>
        <v/>
      </c>
      <c r="N276" s="46" t="str">
        <f aca="false">IF(B276="","",IF(OR(I276="",I276="Open: needs a decision",L276=""),"Open","Closed"))</f>
        <v/>
      </c>
      <c r="O276" s="46"/>
      <c r="P276" s="46" t="str">
        <f aca="false">IF(OR(B276="",I276&lt;&gt;"Save for a later revision"),"",IF(COUNTIF('Deferred edits'!$K$2:$K$201,A276)&gt;0,"Yes","● Add to Deferred edits"))</f>
        <v/>
      </c>
    </row>
    <row r="277" customFormat="false" ht="15" hidden="false" customHeight="false" outlineLevel="0" collapsed="false">
      <c r="A277" s="46" t="s">
        <v>572</v>
      </c>
      <c r="B277" s="46"/>
      <c r="C277" s="46"/>
      <c r="D277" s="46"/>
      <c r="E277" s="46"/>
      <c r="F277" s="46"/>
      <c r="G277" s="46"/>
      <c r="H277" s="46"/>
      <c r="I277" s="46"/>
      <c r="J277" s="46"/>
      <c r="K277" s="46"/>
      <c r="L277" s="46"/>
      <c r="M277" s="46" t="str">
        <f aca="false">IF(OR(B277="",I277=""),"",IFERROR(INDEX('Comment flow'!$C$40:$C$46,MATCH(I277,'Comment flow'!$A$40:$A$46,0)),""))</f>
        <v/>
      </c>
      <c r="N277" s="46" t="str">
        <f aca="false">IF(B277="","",IF(OR(I277="",I277="Open: needs a decision",L277=""),"Open","Closed"))</f>
        <v/>
      </c>
      <c r="O277" s="46"/>
      <c r="P277" s="46" t="str">
        <f aca="false">IF(OR(B277="",I277&lt;&gt;"Save for a later revision"),"",IF(COUNTIF('Deferred edits'!$K$2:$K$201,A277)&gt;0,"Yes","● Add to Deferred edits"))</f>
        <v/>
      </c>
    </row>
    <row r="278" customFormat="false" ht="15" hidden="false" customHeight="false" outlineLevel="0" collapsed="false">
      <c r="A278" s="46" t="s">
        <v>573</v>
      </c>
      <c r="B278" s="46"/>
      <c r="C278" s="46"/>
      <c r="D278" s="46"/>
      <c r="E278" s="46"/>
      <c r="F278" s="46"/>
      <c r="G278" s="46"/>
      <c r="H278" s="46"/>
      <c r="I278" s="46"/>
      <c r="J278" s="46"/>
      <c r="K278" s="46"/>
      <c r="L278" s="46"/>
      <c r="M278" s="46" t="str">
        <f aca="false">IF(OR(B278="",I278=""),"",IFERROR(INDEX('Comment flow'!$C$40:$C$46,MATCH(I278,'Comment flow'!$A$40:$A$46,0)),""))</f>
        <v/>
      </c>
      <c r="N278" s="46" t="str">
        <f aca="false">IF(B278="","",IF(OR(I278="",I278="Open: needs a decision",L278=""),"Open","Closed"))</f>
        <v/>
      </c>
      <c r="O278" s="46"/>
      <c r="P278" s="46" t="str">
        <f aca="false">IF(OR(B278="",I278&lt;&gt;"Save for a later revision"),"",IF(COUNTIF('Deferred edits'!$K$2:$K$201,A278)&gt;0,"Yes","● Add to Deferred edits"))</f>
        <v/>
      </c>
    </row>
    <row r="279" customFormat="false" ht="15" hidden="false" customHeight="false" outlineLevel="0" collapsed="false">
      <c r="A279" s="46" t="s">
        <v>574</v>
      </c>
      <c r="B279" s="46"/>
      <c r="C279" s="46"/>
      <c r="D279" s="46"/>
      <c r="E279" s="46"/>
      <c r="F279" s="46"/>
      <c r="G279" s="46"/>
      <c r="H279" s="46"/>
      <c r="I279" s="46"/>
      <c r="J279" s="46"/>
      <c r="K279" s="46"/>
      <c r="L279" s="46"/>
      <c r="M279" s="46" t="str">
        <f aca="false">IF(OR(B279="",I279=""),"",IFERROR(INDEX('Comment flow'!$C$40:$C$46,MATCH(I279,'Comment flow'!$A$40:$A$46,0)),""))</f>
        <v/>
      </c>
      <c r="N279" s="46" t="str">
        <f aca="false">IF(B279="","",IF(OR(I279="",I279="Open: needs a decision",L279=""),"Open","Closed"))</f>
        <v/>
      </c>
      <c r="O279" s="46"/>
      <c r="P279" s="46" t="str">
        <f aca="false">IF(OR(B279="",I279&lt;&gt;"Save for a later revision"),"",IF(COUNTIF('Deferred edits'!$K$2:$K$201,A279)&gt;0,"Yes","● Add to Deferred edits"))</f>
        <v/>
      </c>
    </row>
    <row r="280" customFormat="false" ht="15" hidden="false" customHeight="false" outlineLevel="0" collapsed="false">
      <c r="A280" s="46" t="s">
        <v>575</v>
      </c>
      <c r="B280" s="46"/>
      <c r="C280" s="46"/>
      <c r="D280" s="46"/>
      <c r="E280" s="46"/>
      <c r="F280" s="46"/>
      <c r="G280" s="46"/>
      <c r="H280" s="46"/>
      <c r="I280" s="46"/>
      <c r="J280" s="46"/>
      <c r="K280" s="46"/>
      <c r="L280" s="46"/>
      <c r="M280" s="46" t="str">
        <f aca="false">IF(OR(B280="",I280=""),"",IFERROR(INDEX('Comment flow'!$C$40:$C$46,MATCH(I280,'Comment flow'!$A$40:$A$46,0)),""))</f>
        <v/>
      </c>
      <c r="N280" s="46" t="str">
        <f aca="false">IF(B280="","",IF(OR(I280="",I280="Open: needs a decision",L280=""),"Open","Closed"))</f>
        <v/>
      </c>
      <c r="O280" s="46"/>
      <c r="P280" s="46" t="str">
        <f aca="false">IF(OR(B280="",I280&lt;&gt;"Save for a later revision"),"",IF(COUNTIF('Deferred edits'!$K$2:$K$201,A280)&gt;0,"Yes","● Add to Deferred edits"))</f>
        <v/>
      </c>
    </row>
    <row r="281" customFormat="false" ht="15" hidden="false" customHeight="false" outlineLevel="0" collapsed="false">
      <c r="A281" s="46" t="s">
        <v>576</v>
      </c>
      <c r="B281" s="46"/>
      <c r="C281" s="46"/>
      <c r="D281" s="46"/>
      <c r="E281" s="46"/>
      <c r="F281" s="46"/>
      <c r="G281" s="46"/>
      <c r="H281" s="46"/>
      <c r="I281" s="46"/>
      <c r="J281" s="46"/>
      <c r="K281" s="46"/>
      <c r="L281" s="46"/>
      <c r="M281" s="46" t="str">
        <f aca="false">IF(OR(B281="",I281=""),"",IFERROR(INDEX('Comment flow'!$C$40:$C$46,MATCH(I281,'Comment flow'!$A$40:$A$46,0)),""))</f>
        <v/>
      </c>
      <c r="N281" s="46" t="str">
        <f aca="false">IF(B281="","",IF(OR(I281="",I281="Open: needs a decision",L281=""),"Open","Closed"))</f>
        <v/>
      </c>
      <c r="O281" s="46"/>
      <c r="P281" s="46" t="str">
        <f aca="false">IF(OR(B281="",I281&lt;&gt;"Save for a later revision"),"",IF(COUNTIF('Deferred edits'!$K$2:$K$201,A281)&gt;0,"Yes","● Add to Deferred edits"))</f>
        <v/>
      </c>
    </row>
    <row r="282" customFormat="false" ht="15" hidden="false" customHeight="false" outlineLevel="0" collapsed="false">
      <c r="A282" s="46" t="s">
        <v>577</v>
      </c>
      <c r="B282" s="46"/>
      <c r="C282" s="46"/>
      <c r="D282" s="46"/>
      <c r="E282" s="46"/>
      <c r="F282" s="46"/>
      <c r="G282" s="46"/>
      <c r="H282" s="46"/>
      <c r="I282" s="46"/>
      <c r="J282" s="46"/>
      <c r="K282" s="46"/>
      <c r="L282" s="46"/>
      <c r="M282" s="46" t="str">
        <f aca="false">IF(OR(B282="",I282=""),"",IFERROR(INDEX('Comment flow'!$C$40:$C$46,MATCH(I282,'Comment flow'!$A$40:$A$46,0)),""))</f>
        <v/>
      </c>
      <c r="N282" s="46" t="str">
        <f aca="false">IF(B282="","",IF(OR(I282="",I282="Open: needs a decision",L282=""),"Open","Closed"))</f>
        <v/>
      </c>
      <c r="O282" s="46"/>
      <c r="P282" s="46" t="str">
        <f aca="false">IF(OR(B282="",I282&lt;&gt;"Save for a later revision"),"",IF(COUNTIF('Deferred edits'!$K$2:$K$201,A282)&gt;0,"Yes","● Add to Deferred edits"))</f>
        <v/>
      </c>
    </row>
    <row r="283" customFormat="false" ht="15" hidden="false" customHeight="false" outlineLevel="0" collapsed="false">
      <c r="A283" s="46" t="s">
        <v>578</v>
      </c>
      <c r="B283" s="46"/>
      <c r="C283" s="46"/>
      <c r="D283" s="46"/>
      <c r="E283" s="46"/>
      <c r="F283" s="46"/>
      <c r="G283" s="46"/>
      <c r="H283" s="46"/>
      <c r="I283" s="46"/>
      <c r="J283" s="46"/>
      <c r="K283" s="46"/>
      <c r="L283" s="46"/>
      <c r="M283" s="46" t="str">
        <f aca="false">IF(OR(B283="",I283=""),"",IFERROR(INDEX('Comment flow'!$C$40:$C$46,MATCH(I283,'Comment flow'!$A$40:$A$46,0)),""))</f>
        <v/>
      </c>
      <c r="N283" s="46" t="str">
        <f aca="false">IF(B283="","",IF(OR(I283="",I283="Open: needs a decision",L283=""),"Open","Closed"))</f>
        <v/>
      </c>
      <c r="O283" s="46"/>
      <c r="P283" s="46" t="str">
        <f aca="false">IF(OR(B283="",I283&lt;&gt;"Save for a later revision"),"",IF(COUNTIF('Deferred edits'!$K$2:$K$201,A283)&gt;0,"Yes","● Add to Deferred edits"))</f>
        <v/>
      </c>
    </row>
    <row r="284" customFormat="false" ht="15" hidden="false" customHeight="false" outlineLevel="0" collapsed="false">
      <c r="A284" s="46" t="s">
        <v>579</v>
      </c>
      <c r="B284" s="46"/>
      <c r="C284" s="46"/>
      <c r="D284" s="46"/>
      <c r="E284" s="46"/>
      <c r="F284" s="46"/>
      <c r="G284" s="46"/>
      <c r="H284" s="46"/>
      <c r="I284" s="46"/>
      <c r="J284" s="46"/>
      <c r="K284" s="46"/>
      <c r="L284" s="46"/>
      <c r="M284" s="46" t="str">
        <f aca="false">IF(OR(B284="",I284=""),"",IFERROR(INDEX('Comment flow'!$C$40:$C$46,MATCH(I284,'Comment flow'!$A$40:$A$46,0)),""))</f>
        <v/>
      </c>
      <c r="N284" s="46" t="str">
        <f aca="false">IF(B284="","",IF(OR(I284="",I284="Open: needs a decision",L284=""),"Open","Closed"))</f>
        <v/>
      </c>
      <c r="O284" s="46"/>
      <c r="P284" s="46" t="str">
        <f aca="false">IF(OR(B284="",I284&lt;&gt;"Save for a later revision"),"",IF(COUNTIF('Deferred edits'!$K$2:$K$201,A284)&gt;0,"Yes","● Add to Deferred edits"))</f>
        <v/>
      </c>
    </row>
    <row r="285" customFormat="false" ht="15" hidden="false" customHeight="false" outlineLevel="0" collapsed="false">
      <c r="A285" s="46" t="s">
        <v>580</v>
      </c>
      <c r="B285" s="46"/>
      <c r="C285" s="46"/>
      <c r="D285" s="46"/>
      <c r="E285" s="46"/>
      <c r="F285" s="46"/>
      <c r="G285" s="46"/>
      <c r="H285" s="46"/>
      <c r="I285" s="46"/>
      <c r="J285" s="46"/>
      <c r="K285" s="46"/>
      <c r="L285" s="46"/>
      <c r="M285" s="46" t="str">
        <f aca="false">IF(OR(B285="",I285=""),"",IFERROR(INDEX('Comment flow'!$C$40:$C$46,MATCH(I285,'Comment flow'!$A$40:$A$46,0)),""))</f>
        <v/>
      </c>
      <c r="N285" s="46" t="str">
        <f aca="false">IF(B285="","",IF(OR(I285="",I285="Open: needs a decision",L285=""),"Open","Closed"))</f>
        <v/>
      </c>
      <c r="O285" s="46"/>
      <c r="P285" s="46" t="str">
        <f aca="false">IF(OR(B285="",I285&lt;&gt;"Save for a later revision"),"",IF(COUNTIF('Deferred edits'!$K$2:$K$201,A285)&gt;0,"Yes","● Add to Deferred edits"))</f>
        <v/>
      </c>
    </row>
    <row r="286" customFormat="false" ht="15" hidden="false" customHeight="false" outlineLevel="0" collapsed="false">
      <c r="A286" s="46" t="s">
        <v>581</v>
      </c>
      <c r="B286" s="46"/>
      <c r="C286" s="46"/>
      <c r="D286" s="46"/>
      <c r="E286" s="46"/>
      <c r="F286" s="46"/>
      <c r="G286" s="46"/>
      <c r="H286" s="46"/>
      <c r="I286" s="46"/>
      <c r="J286" s="46"/>
      <c r="K286" s="46"/>
      <c r="L286" s="46"/>
      <c r="M286" s="46" t="str">
        <f aca="false">IF(OR(B286="",I286=""),"",IFERROR(INDEX('Comment flow'!$C$40:$C$46,MATCH(I286,'Comment flow'!$A$40:$A$46,0)),""))</f>
        <v/>
      </c>
      <c r="N286" s="46" t="str">
        <f aca="false">IF(B286="","",IF(OR(I286="",I286="Open: needs a decision",L286=""),"Open","Closed"))</f>
        <v/>
      </c>
      <c r="O286" s="46"/>
      <c r="P286" s="46" t="str">
        <f aca="false">IF(OR(B286="",I286&lt;&gt;"Save for a later revision"),"",IF(COUNTIF('Deferred edits'!$K$2:$K$201,A286)&gt;0,"Yes","● Add to Deferred edits"))</f>
        <v/>
      </c>
    </row>
    <row r="287" customFormat="false" ht="15" hidden="false" customHeight="false" outlineLevel="0" collapsed="false">
      <c r="A287" s="46" t="s">
        <v>582</v>
      </c>
      <c r="B287" s="46"/>
      <c r="C287" s="46"/>
      <c r="D287" s="46"/>
      <c r="E287" s="46"/>
      <c r="F287" s="46"/>
      <c r="G287" s="46"/>
      <c r="H287" s="46"/>
      <c r="I287" s="46"/>
      <c r="J287" s="46"/>
      <c r="K287" s="46"/>
      <c r="L287" s="46"/>
      <c r="M287" s="46" t="str">
        <f aca="false">IF(OR(B287="",I287=""),"",IFERROR(INDEX('Comment flow'!$C$40:$C$46,MATCH(I287,'Comment flow'!$A$40:$A$46,0)),""))</f>
        <v/>
      </c>
      <c r="N287" s="46" t="str">
        <f aca="false">IF(B287="","",IF(OR(I287="",I287="Open: needs a decision",L287=""),"Open","Closed"))</f>
        <v/>
      </c>
      <c r="O287" s="46"/>
      <c r="P287" s="46" t="str">
        <f aca="false">IF(OR(B287="",I287&lt;&gt;"Save for a later revision"),"",IF(COUNTIF('Deferred edits'!$K$2:$K$201,A287)&gt;0,"Yes","● Add to Deferred edits"))</f>
        <v/>
      </c>
    </row>
    <row r="288" customFormat="false" ht="15" hidden="false" customHeight="false" outlineLevel="0" collapsed="false">
      <c r="A288" s="46" t="s">
        <v>583</v>
      </c>
      <c r="B288" s="46"/>
      <c r="C288" s="46"/>
      <c r="D288" s="46"/>
      <c r="E288" s="46"/>
      <c r="F288" s="46"/>
      <c r="G288" s="46"/>
      <c r="H288" s="46"/>
      <c r="I288" s="46"/>
      <c r="J288" s="46"/>
      <c r="K288" s="46"/>
      <c r="L288" s="46"/>
      <c r="M288" s="46" t="str">
        <f aca="false">IF(OR(B288="",I288=""),"",IFERROR(INDEX('Comment flow'!$C$40:$C$46,MATCH(I288,'Comment flow'!$A$40:$A$46,0)),""))</f>
        <v/>
      </c>
      <c r="N288" s="46" t="str">
        <f aca="false">IF(B288="","",IF(OR(I288="",I288="Open: needs a decision",L288=""),"Open","Closed"))</f>
        <v/>
      </c>
      <c r="O288" s="46"/>
      <c r="P288" s="46" t="str">
        <f aca="false">IF(OR(B288="",I288&lt;&gt;"Save for a later revision"),"",IF(COUNTIF('Deferred edits'!$K$2:$K$201,A288)&gt;0,"Yes","● Add to Deferred edits"))</f>
        <v/>
      </c>
    </row>
    <row r="289" customFormat="false" ht="15" hidden="false" customHeight="false" outlineLevel="0" collapsed="false">
      <c r="A289" s="46" t="s">
        <v>584</v>
      </c>
      <c r="B289" s="46"/>
      <c r="C289" s="46"/>
      <c r="D289" s="46"/>
      <c r="E289" s="46"/>
      <c r="F289" s="46"/>
      <c r="G289" s="46"/>
      <c r="H289" s="46"/>
      <c r="I289" s="46"/>
      <c r="J289" s="46"/>
      <c r="K289" s="46"/>
      <c r="L289" s="46"/>
      <c r="M289" s="46" t="str">
        <f aca="false">IF(OR(B289="",I289=""),"",IFERROR(INDEX('Comment flow'!$C$40:$C$46,MATCH(I289,'Comment flow'!$A$40:$A$46,0)),""))</f>
        <v/>
      </c>
      <c r="N289" s="46" t="str">
        <f aca="false">IF(B289="","",IF(OR(I289="",I289="Open: needs a decision",L289=""),"Open","Closed"))</f>
        <v/>
      </c>
      <c r="O289" s="46"/>
      <c r="P289" s="46" t="str">
        <f aca="false">IF(OR(B289="",I289&lt;&gt;"Save for a later revision"),"",IF(COUNTIF('Deferred edits'!$K$2:$K$201,A289)&gt;0,"Yes","● Add to Deferred edits"))</f>
        <v/>
      </c>
    </row>
    <row r="290" customFormat="false" ht="15" hidden="false" customHeight="false" outlineLevel="0" collapsed="false">
      <c r="A290" s="46" t="s">
        <v>585</v>
      </c>
      <c r="B290" s="46"/>
      <c r="C290" s="46"/>
      <c r="D290" s="46"/>
      <c r="E290" s="46"/>
      <c r="F290" s="46"/>
      <c r="G290" s="46"/>
      <c r="H290" s="46"/>
      <c r="I290" s="46"/>
      <c r="J290" s="46"/>
      <c r="K290" s="46"/>
      <c r="L290" s="46"/>
      <c r="M290" s="46" t="str">
        <f aca="false">IF(OR(B290="",I290=""),"",IFERROR(INDEX('Comment flow'!$C$40:$C$46,MATCH(I290,'Comment flow'!$A$40:$A$46,0)),""))</f>
        <v/>
      </c>
      <c r="N290" s="46" t="str">
        <f aca="false">IF(B290="","",IF(OR(I290="",I290="Open: needs a decision",L290=""),"Open","Closed"))</f>
        <v/>
      </c>
      <c r="O290" s="46"/>
      <c r="P290" s="46" t="str">
        <f aca="false">IF(OR(B290="",I290&lt;&gt;"Save for a later revision"),"",IF(COUNTIF('Deferred edits'!$K$2:$K$201,A290)&gt;0,"Yes","● Add to Deferred edits"))</f>
        <v/>
      </c>
    </row>
    <row r="291" customFormat="false" ht="15" hidden="false" customHeight="false" outlineLevel="0" collapsed="false">
      <c r="A291" s="46" t="s">
        <v>586</v>
      </c>
      <c r="B291" s="46"/>
      <c r="C291" s="46"/>
      <c r="D291" s="46"/>
      <c r="E291" s="46"/>
      <c r="F291" s="46"/>
      <c r="G291" s="46"/>
      <c r="H291" s="46"/>
      <c r="I291" s="46"/>
      <c r="J291" s="46"/>
      <c r="K291" s="46"/>
      <c r="L291" s="46"/>
      <c r="M291" s="46" t="str">
        <f aca="false">IF(OR(B291="",I291=""),"",IFERROR(INDEX('Comment flow'!$C$40:$C$46,MATCH(I291,'Comment flow'!$A$40:$A$46,0)),""))</f>
        <v/>
      </c>
      <c r="N291" s="46" t="str">
        <f aca="false">IF(B291="","",IF(OR(I291="",I291="Open: needs a decision",L291=""),"Open","Closed"))</f>
        <v/>
      </c>
      <c r="O291" s="46"/>
      <c r="P291" s="46" t="str">
        <f aca="false">IF(OR(B291="",I291&lt;&gt;"Save for a later revision"),"",IF(COUNTIF('Deferred edits'!$K$2:$K$201,A291)&gt;0,"Yes","● Add to Deferred edits"))</f>
        <v/>
      </c>
    </row>
    <row r="292" customFormat="false" ht="15" hidden="false" customHeight="false" outlineLevel="0" collapsed="false">
      <c r="A292" s="46" t="s">
        <v>587</v>
      </c>
      <c r="B292" s="46"/>
      <c r="C292" s="46"/>
      <c r="D292" s="46"/>
      <c r="E292" s="46"/>
      <c r="F292" s="46"/>
      <c r="G292" s="46"/>
      <c r="H292" s="46"/>
      <c r="I292" s="46"/>
      <c r="J292" s="46"/>
      <c r="K292" s="46"/>
      <c r="L292" s="46"/>
      <c r="M292" s="46" t="str">
        <f aca="false">IF(OR(B292="",I292=""),"",IFERROR(INDEX('Comment flow'!$C$40:$C$46,MATCH(I292,'Comment flow'!$A$40:$A$46,0)),""))</f>
        <v/>
      </c>
      <c r="N292" s="46" t="str">
        <f aca="false">IF(B292="","",IF(OR(I292="",I292="Open: needs a decision",L292=""),"Open","Closed"))</f>
        <v/>
      </c>
      <c r="O292" s="46"/>
      <c r="P292" s="46" t="str">
        <f aca="false">IF(OR(B292="",I292&lt;&gt;"Save for a later revision"),"",IF(COUNTIF('Deferred edits'!$K$2:$K$201,A292)&gt;0,"Yes","● Add to Deferred edits"))</f>
        <v/>
      </c>
    </row>
    <row r="293" customFormat="false" ht="15" hidden="false" customHeight="false" outlineLevel="0" collapsed="false">
      <c r="A293" s="46" t="s">
        <v>588</v>
      </c>
      <c r="B293" s="46"/>
      <c r="C293" s="46"/>
      <c r="D293" s="46"/>
      <c r="E293" s="46"/>
      <c r="F293" s="46"/>
      <c r="G293" s="46"/>
      <c r="H293" s="46"/>
      <c r="I293" s="46"/>
      <c r="J293" s="46"/>
      <c r="K293" s="46"/>
      <c r="L293" s="46"/>
      <c r="M293" s="46" t="str">
        <f aca="false">IF(OR(B293="",I293=""),"",IFERROR(INDEX('Comment flow'!$C$40:$C$46,MATCH(I293,'Comment flow'!$A$40:$A$46,0)),""))</f>
        <v/>
      </c>
      <c r="N293" s="46" t="str">
        <f aca="false">IF(B293="","",IF(OR(I293="",I293="Open: needs a decision",L293=""),"Open","Closed"))</f>
        <v/>
      </c>
      <c r="O293" s="46"/>
      <c r="P293" s="46" t="str">
        <f aca="false">IF(OR(B293="",I293&lt;&gt;"Save for a later revision"),"",IF(COUNTIF('Deferred edits'!$K$2:$K$201,A293)&gt;0,"Yes","● Add to Deferred edits"))</f>
        <v/>
      </c>
    </row>
    <row r="294" customFormat="false" ht="15" hidden="false" customHeight="false" outlineLevel="0" collapsed="false">
      <c r="A294" s="46" t="s">
        <v>589</v>
      </c>
      <c r="B294" s="46"/>
      <c r="C294" s="46"/>
      <c r="D294" s="46"/>
      <c r="E294" s="46"/>
      <c r="F294" s="46"/>
      <c r="G294" s="46"/>
      <c r="H294" s="46"/>
      <c r="I294" s="46"/>
      <c r="J294" s="46"/>
      <c r="K294" s="46"/>
      <c r="L294" s="46"/>
      <c r="M294" s="46" t="str">
        <f aca="false">IF(OR(B294="",I294=""),"",IFERROR(INDEX('Comment flow'!$C$40:$C$46,MATCH(I294,'Comment flow'!$A$40:$A$46,0)),""))</f>
        <v/>
      </c>
      <c r="N294" s="46" t="str">
        <f aca="false">IF(B294="","",IF(OR(I294="",I294="Open: needs a decision",L294=""),"Open","Closed"))</f>
        <v/>
      </c>
      <c r="O294" s="46"/>
      <c r="P294" s="46" t="str">
        <f aca="false">IF(OR(B294="",I294&lt;&gt;"Save for a later revision"),"",IF(COUNTIF('Deferred edits'!$K$2:$K$201,A294)&gt;0,"Yes","● Add to Deferred edits"))</f>
        <v/>
      </c>
    </row>
    <row r="295" customFormat="false" ht="15" hidden="false" customHeight="false" outlineLevel="0" collapsed="false">
      <c r="A295" s="46" t="s">
        <v>590</v>
      </c>
      <c r="B295" s="46"/>
      <c r="C295" s="46"/>
      <c r="D295" s="46"/>
      <c r="E295" s="46"/>
      <c r="F295" s="46"/>
      <c r="G295" s="46"/>
      <c r="H295" s="46"/>
      <c r="I295" s="46"/>
      <c r="J295" s="46"/>
      <c r="K295" s="46"/>
      <c r="L295" s="46"/>
      <c r="M295" s="46" t="str">
        <f aca="false">IF(OR(B295="",I295=""),"",IFERROR(INDEX('Comment flow'!$C$40:$C$46,MATCH(I295,'Comment flow'!$A$40:$A$46,0)),""))</f>
        <v/>
      </c>
      <c r="N295" s="46" t="str">
        <f aca="false">IF(B295="","",IF(OR(I295="",I295="Open: needs a decision",L295=""),"Open","Closed"))</f>
        <v/>
      </c>
      <c r="O295" s="46"/>
      <c r="P295" s="46" t="str">
        <f aca="false">IF(OR(B295="",I295&lt;&gt;"Save for a later revision"),"",IF(COUNTIF('Deferred edits'!$K$2:$K$201,A295)&gt;0,"Yes","● Add to Deferred edits"))</f>
        <v/>
      </c>
    </row>
    <row r="296" customFormat="false" ht="15" hidden="false" customHeight="false" outlineLevel="0" collapsed="false">
      <c r="A296" s="46" t="s">
        <v>591</v>
      </c>
      <c r="B296" s="46"/>
      <c r="C296" s="46"/>
      <c r="D296" s="46"/>
      <c r="E296" s="46"/>
      <c r="F296" s="46"/>
      <c r="G296" s="46"/>
      <c r="H296" s="46"/>
      <c r="I296" s="46"/>
      <c r="J296" s="46"/>
      <c r="K296" s="46"/>
      <c r="L296" s="46"/>
      <c r="M296" s="46" t="str">
        <f aca="false">IF(OR(B296="",I296=""),"",IFERROR(INDEX('Comment flow'!$C$40:$C$46,MATCH(I296,'Comment flow'!$A$40:$A$46,0)),""))</f>
        <v/>
      </c>
      <c r="N296" s="46" t="str">
        <f aca="false">IF(B296="","",IF(OR(I296="",I296="Open: needs a decision",L296=""),"Open","Closed"))</f>
        <v/>
      </c>
      <c r="O296" s="46"/>
      <c r="P296" s="46" t="str">
        <f aca="false">IF(OR(B296="",I296&lt;&gt;"Save for a later revision"),"",IF(COUNTIF('Deferred edits'!$K$2:$K$201,A296)&gt;0,"Yes","● Add to Deferred edits"))</f>
        <v/>
      </c>
    </row>
    <row r="297" customFormat="false" ht="15" hidden="false" customHeight="false" outlineLevel="0" collapsed="false">
      <c r="A297" s="46" t="s">
        <v>592</v>
      </c>
      <c r="B297" s="46"/>
      <c r="C297" s="46"/>
      <c r="D297" s="46"/>
      <c r="E297" s="46"/>
      <c r="F297" s="46"/>
      <c r="G297" s="46"/>
      <c r="H297" s="46"/>
      <c r="I297" s="46"/>
      <c r="J297" s="46"/>
      <c r="K297" s="46"/>
      <c r="L297" s="46"/>
      <c r="M297" s="46" t="str">
        <f aca="false">IF(OR(B297="",I297=""),"",IFERROR(INDEX('Comment flow'!$C$40:$C$46,MATCH(I297,'Comment flow'!$A$40:$A$46,0)),""))</f>
        <v/>
      </c>
      <c r="N297" s="46" t="str">
        <f aca="false">IF(B297="","",IF(OR(I297="",I297="Open: needs a decision",L297=""),"Open","Closed"))</f>
        <v/>
      </c>
      <c r="O297" s="46"/>
      <c r="P297" s="46" t="str">
        <f aca="false">IF(OR(B297="",I297&lt;&gt;"Save for a later revision"),"",IF(COUNTIF('Deferred edits'!$K$2:$K$201,A297)&gt;0,"Yes","● Add to Deferred edits"))</f>
        <v/>
      </c>
    </row>
    <row r="298" customFormat="false" ht="15" hidden="false" customHeight="false" outlineLevel="0" collapsed="false">
      <c r="A298" s="46" t="s">
        <v>593</v>
      </c>
      <c r="B298" s="46"/>
      <c r="C298" s="46"/>
      <c r="D298" s="46"/>
      <c r="E298" s="46"/>
      <c r="F298" s="46"/>
      <c r="G298" s="46"/>
      <c r="H298" s="46"/>
      <c r="I298" s="46"/>
      <c r="J298" s="46"/>
      <c r="K298" s="46"/>
      <c r="L298" s="46"/>
      <c r="M298" s="46" t="str">
        <f aca="false">IF(OR(B298="",I298=""),"",IFERROR(INDEX('Comment flow'!$C$40:$C$46,MATCH(I298,'Comment flow'!$A$40:$A$46,0)),""))</f>
        <v/>
      </c>
      <c r="N298" s="46" t="str">
        <f aca="false">IF(B298="","",IF(OR(I298="",I298="Open: needs a decision",L298=""),"Open","Closed"))</f>
        <v/>
      </c>
      <c r="O298" s="46"/>
      <c r="P298" s="46" t="str">
        <f aca="false">IF(OR(B298="",I298&lt;&gt;"Save for a later revision"),"",IF(COUNTIF('Deferred edits'!$K$2:$K$201,A298)&gt;0,"Yes","● Add to Deferred edits"))</f>
        <v/>
      </c>
    </row>
    <row r="299" customFormat="false" ht="15" hidden="false" customHeight="false" outlineLevel="0" collapsed="false">
      <c r="A299" s="46" t="s">
        <v>594</v>
      </c>
      <c r="B299" s="46"/>
      <c r="C299" s="46"/>
      <c r="D299" s="46"/>
      <c r="E299" s="46"/>
      <c r="F299" s="46"/>
      <c r="G299" s="46"/>
      <c r="H299" s="46"/>
      <c r="I299" s="46"/>
      <c r="J299" s="46"/>
      <c r="K299" s="46"/>
      <c r="L299" s="46"/>
      <c r="M299" s="46" t="str">
        <f aca="false">IF(OR(B299="",I299=""),"",IFERROR(INDEX('Comment flow'!$C$40:$C$46,MATCH(I299,'Comment flow'!$A$40:$A$46,0)),""))</f>
        <v/>
      </c>
      <c r="N299" s="46" t="str">
        <f aca="false">IF(B299="","",IF(OR(I299="",I299="Open: needs a decision",L299=""),"Open","Closed"))</f>
        <v/>
      </c>
      <c r="O299" s="46"/>
      <c r="P299" s="46" t="str">
        <f aca="false">IF(OR(B299="",I299&lt;&gt;"Save for a later revision"),"",IF(COUNTIF('Deferred edits'!$K$2:$K$201,A299)&gt;0,"Yes","● Add to Deferred edits"))</f>
        <v/>
      </c>
    </row>
    <row r="300" customFormat="false" ht="15" hidden="false" customHeight="false" outlineLevel="0" collapsed="false">
      <c r="A300" s="46" t="s">
        <v>595</v>
      </c>
      <c r="B300" s="46"/>
      <c r="C300" s="46"/>
      <c r="D300" s="46"/>
      <c r="E300" s="46"/>
      <c r="F300" s="46"/>
      <c r="G300" s="46"/>
      <c r="H300" s="46"/>
      <c r="I300" s="46"/>
      <c r="J300" s="46"/>
      <c r="K300" s="46"/>
      <c r="L300" s="46"/>
      <c r="M300" s="46" t="str">
        <f aca="false">IF(OR(B300="",I300=""),"",IFERROR(INDEX('Comment flow'!$C$40:$C$46,MATCH(I300,'Comment flow'!$A$40:$A$46,0)),""))</f>
        <v/>
      </c>
      <c r="N300" s="46" t="str">
        <f aca="false">IF(B300="","",IF(OR(I300="",I300="Open: needs a decision",L300=""),"Open","Closed"))</f>
        <v/>
      </c>
      <c r="O300" s="46"/>
      <c r="P300" s="46" t="str">
        <f aca="false">IF(OR(B300="",I300&lt;&gt;"Save for a later revision"),"",IF(COUNTIF('Deferred edits'!$K$2:$K$201,A300)&gt;0,"Yes","● Add to Deferred edits"))</f>
        <v/>
      </c>
    </row>
    <row r="301" customFormat="false" ht="15" hidden="false" customHeight="false" outlineLevel="0" collapsed="false">
      <c r="A301" s="46" t="s">
        <v>596</v>
      </c>
      <c r="B301" s="46"/>
      <c r="C301" s="46"/>
      <c r="D301" s="46"/>
      <c r="E301" s="46"/>
      <c r="F301" s="46"/>
      <c r="G301" s="46"/>
      <c r="H301" s="46"/>
      <c r="I301" s="46"/>
      <c r="J301" s="46"/>
      <c r="K301" s="46"/>
      <c r="L301" s="46"/>
      <c r="M301" s="46" t="str">
        <f aca="false">IF(OR(B301="",I301=""),"",IFERROR(INDEX('Comment flow'!$C$40:$C$46,MATCH(I301,'Comment flow'!$A$40:$A$46,0)),""))</f>
        <v/>
      </c>
      <c r="N301" s="46" t="str">
        <f aca="false">IF(B301="","",IF(OR(I301="",I301="Open: needs a decision",L301=""),"Open","Closed"))</f>
        <v/>
      </c>
      <c r="O301" s="46"/>
      <c r="P301" s="46" t="str">
        <f aca="false">IF(OR(B301="",I301&lt;&gt;"Save for a later revision"),"",IF(COUNTIF('Deferred edits'!$K$2:$K$201,A301)&gt;0,"Yes","● Add to Deferred edits"))</f>
        <v/>
      </c>
    </row>
    <row r="302" customFormat="false" ht="15" hidden="false" customHeight="false" outlineLevel="0" collapsed="false">
      <c r="A302" s="46" t="s">
        <v>597</v>
      </c>
      <c r="B302" s="46"/>
      <c r="C302" s="46"/>
      <c r="D302" s="46"/>
      <c r="E302" s="46"/>
      <c r="F302" s="46"/>
      <c r="G302" s="46"/>
      <c r="H302" s="46"/>
      <c r="I302" s="46"/>
      <c r="J302" s="46"/>
      <c r="K302" s="46"/>
      <c r="L302" s="46"/>
      <c r="M302" s="46" t="str">
        <f aca="false">IF(OR(B302="",I302=""),"",IFERROR(INDEX('Comment flow'!$C$40:$C$46,MATCH(I302,'Comment flow'!$A$40:$A$46,0)),""))</f>
        <v/>
      </c>
      <c r="N302" s="46" t="str">
        <f aca="false">IF(B302="","",IF(OR(I302="",I302="Open: needs a decision",L302=""),"Open","Closed"))</f>
        <v/>
      </c>
      <c r="O302" s="46"/>
      <c r="P302" s="46" t="str">
        <f aca="false">IF(OR(B302="",I302&lt;&gt;"Save for a later revision"),"",IF(COUNTIF('Deferred edits'!$K$2:$K$201,A302)&gt;0,"Yes","● Add to Deferred edits"))</f>
        <v/>
      </c>
    </row>
    <row r="303" customFormat="false" ht="15" hidden="false" customHeight="false" outlineLevel="0" collapsed="false">
      <c r="A303" s="46" t="s">
        <v>598</v>
      </c>
      <c r="B303" s="46"/>
      <c r="C303" s="46"/>
      <c r="D303" s="46"/>
      <c r="E303" s="46"/>
      <c r="F303" s="46"/>
      <c r="G303" s="46"/>
      <c r="H303" s="46"/>
      <c r="I303" s="46"/>
      <c r="J303" s="46"/>
      <c r="K303" s="46"/>
      <c r="L303" s="46"/>
      <c r="M303" s="46" t="str">
        <f aca="false">IF(OR(B303="",I303=""),"",IFERROR(INDEX('Comment flow'!$C$40:$C$46,MATCH(I303,'Comment flow'!$A$40:$A$46,0)),""))</f>
        <v/>
      </c>
      <c r="N303" s="46" t="str">
        <f aca="false">IF(B303="","",IF(OR(I303="",I303="Open: needs a decision",L303=""),"Open","Closed"))</f>
        <v/>
      </c>
      <c r="O303" s="46"/>
      <c r="P303" s="46" t="str">
        <f aca="false">IF(OR(B303="",I303&lt;&gt;"Save for a later revision"),"",IF(COUNTIF('Deferred edits'!$K$2:$K$201,A303)&gt;0,"Yes","● Add to Deferred edits"))</f>
        <v/>
      </c>
    </row>
    <row r="304" customFormat="false" ht="15" hidden="false" customHeight="false" outlineLevel="0" collapsed="false">
      <c r="A304" s="46" t="s">
        <v>599</v>
      </c>
      <c r="B304" s="46"/>
      <c r="C304" s="46"/>
      <c r="D304" s="46"/>
      <c r="E304" s="46"/>
      <c r="F304" s="46"/>
      <c r="G304" s="46"/>
      <c r="H304" s="46"/>
      <c r="I304" s="46"/>
      <c r="J304" s="46"/>
      <c r="K304" s="46"/>
      <c r="L304" s="46"/>
      <c r="M304" s="46" t="str">
        <f aca="false">IF(OR(B304="",I304=""),"",IFERROR(INDEX('Comment flow'!$C$40:$C$46,MATCH(I304,'Comment flow'!$A$40:$A$46,0)),""))</f>
        <v/>
      </c>
      <c r="N304" s="46" t="str">
        <f aca="false">IF(B304="","",IF(OR(I304="",I304="Open: needs a decision",L304=""),"Open","Closed"))</f>
        <v/>
      </c>
      <c r="O304" s="46"/>
      <c r="P304" s="46" t="str">
        <f aca="false">IF(OR(B304="",I304&lt;&gt;"Save for a later revision"),"",IF(COUNTIF('Deferred edits'!$K$2:$K$201,A304)&gt;0,"Yes","● Add to Deferred edits"))</f>
        <v/>
      </c>
    </row>
    <row r="305" customFormat="false" ht="15" hidden="false" customHeight="false" outlineLevel="0" collapsed="false">
      <c r="A305" s="46" t="s">
        <v>600</v>
      </c>
      <c r="B305" s="46"/>
      <c r="C305" s="46"/>
      <c r="D305" s="46"/>
      <c r="E305" s="46"/>
      <c r="F305" s="46"/>
      <c r="G305" s="46"/>
      <c r="H305" s="46"/>
      <c r="I305" s="46"/>
      <c r="J305" s="46"/>
      <c r="K305" s="46"/>
      <c r="L305" s="46"/>
      <c r="M305" s="46" t="str">
        <f aca="false">IF(OR(B305="",I305=""),"",IFERROR(INDEX('Comment flow'!$C$40:$C$46,MATCH(I305,'Comment flow'!$A$40:$A$46,0)),""))</f>
        <v/>
      </c>
      <c r="N305" s="46" t="str">
        <f aca="false">IF(B305="","",IF(OR(I305="",I305="Open: needs a decision",L305=""),"Open","Closed"))</f>
        <v/>
      </c>
      <c r="O305" s="46"/>
      <c r="P305" s="46" t="str">
        <f aca="false">IF(OR(B305="",I305&lt;&gt;"Save for a later revision"),"",IF(COUNTIF('Deferred edits'!$K$2:$K$201,A305)&gt;0,"Yes","● Add to Deferred edits"))</f>
        <v/>
      </c>
    </row>
    <row r="306" customFormat="false" ht="15" hidden="false" customHeight="false" outlineLevel="0" collapsed="false">
      <c r="A306" s="46" t="s">
        <v>601</v>
      </c>
      <c r="B306" s="46"/>
      <c r="C306" s="46"/>
      <c r="D306" s="46"/>
      <c r="E306" s="46"/>
      <c r="F306" s="46"/>
      <c r="G306" s="46"/>
      <c r="H306" s="46"/>
      <c r="I306" s="46"/>
      <c r="J306" s="46"/>
      <c r="K306" s="46"/>
      <c r="L306" s="46"/>
      <c r="M306" s="46" t="str">
        <f aca="false">IF(OR(B306="",I306=""),"",IFERROR(INDEX('Comment flow'!$C$40:$C$46,MATCH(I306,'Comment flow'!$A$40:$A$46,0)),""))</f>
        <v/>
      </c>
      <c r="N306" s="46" t="str">
        <f aca="false">IF(B306="","",IF(OR(I306="",I306="Open: needs a decision",L306=""),"Open","Closed"))</f>
        <v/>
      </c>
      <c r="O306" s="46"/>
      <c r="P306" s="46" t="str">
        <f aca="false">IF(OR(B306="",I306&lt;&gt;"Save for a later revision"),"",IF(COUNTIF('Deferred edits'!$K$2:$K$201,A306)&gt;0,"Yes","● Add to Deferred edits"))</f>
        <v/>
      </c>
    </row>
    <row r="307" customFormat="false" ht="15" hidden="false" customHeight="false" outlineLevel="0" collapsed="false">
      <c r="A307" s="46" t="s">
        <v>602</v>
      </c>
      <c r="B307" s="46"/>
      <c r="C307" s="46"/>
      <c r="D307" s="46"/>
      <c r="E307" s="46"/>
      <c r="F307" s="46"/>
      <c r="G307" s="46"/>
      <c r="H307" s="46"/>
      <c r="I307" s="46"/>
      <c r="J307" s="46"/>
      <c r="K307" s="46"/>
      <c r="L307" s="46"/>
      <c r="M307" s="46" t="str">
        <f aca="false">IF(OR(B307="",I307=""),"",IFERROR(INDEX('Comment flow'!$C$40:$C$46,MATCH(I307,'Comment flow'!$A$40:$A$46,0)),""))</f>
        <v/>
      </c>
      <c r="N307" s="46" t="str">
        <f aca="false">IF(B307="","",IF(OR(I307="",I307="Open: needs a decision",L307=""),"Open","Closed"))</f>
        <v/>
      </c>
      <c r="O307" s="46"/>
      <c r="P307" s="46" t="str">
        <f aca="false">IF(OR(B307="",I307&lt;&gt;"Save for a later revision"),"",IF(COUNTIF('Deferred edits'!$K$2:$K$201,A307)&gt;0,"Yes","● Add to Deferred edits"))</f>
        <v/>
      </c>
    </row>
    <row r="308" customFormat="false" ht="15" hidden="false" customHeight="false" outlineLevel="0" collapsed="false">
      <c r="A308" s="46" t="s">
        <v>603</v>
      </c>
      <c r="B308" s="46"/>
      <c r="C308" s="46"/>
      <c r="D308" s="46"/>
      <c r="E308" s="46"/>
      <c r="F308" s="46"/>
      <c r="G308" s="46"/>
      <c r="H308" s="46"/>
      <c r="I308" s="46"/>
      <c r="J308" s="46"/>
      <c r="K308" s="46"/>
      <c r="L308" s="46"/>
      <c r="M308" s="46" t="str">
        <f aca="false">IF(OR(B308="",I308=""),"",IFERROR(INDEX('Comment flow'!$C$40:$C$46,MATCH(I308,'Comment flow'!$A$40:$A$46,0)),""))</f>
        <v/>
      </c>
      <c r="N308" s="46" t="str">
        <f aca="false">IF(B308="","",IF(OR(I308="",I308="Open: needs a decision",L308=""),"Open","Closed"))</f>
        <v/>
      </c>
      <c r="O308" s="46"/>
      <c r="P308" s="46" t="str">
        <f aca="false">IF(OR(B308="",I308&lt;&gt;"Save for a later revision"),"",IF(COUNTIF('Deferred edits'!$K$2:$K$201,A308)&gt;0,"Yes","● Add to Deferred edits"))</f>
        <v/>
      </c>
    </row>
    <row r="309" customFormat="false" ht="15" hidden="false" customHeight="false" outlineLevel="0" collapsed="false">
      <c r="A309" s="46" t="s">
        <v>604</v>
      </c>
      <c r="B309" s="46"/>
      <c r="C309" s="46"/>
      <c r="D309" s="46"/>
      <c r="E309" s="46"/>
      <c r="F309" s="46"/>
      <c r="G309" s="46"/>
      <c r="H309" s="46"/>
      <c r="I309" s="46"/>
      <c r="J309" s="46"/>
      <c r="K309" s="46"/>
      <c r="L309" s="46"/>
      <c r="M309" s="46" t="str">
        <f aca="false">IF(OR(B309="",I309=""),"",IFERROR(INDEX('Comment flow'!$C$40:$C$46,MATCH(I309,'Comment flow'!$A$40:$A$46,0)),""))</f>
        <v/>
      </c>
      <c r="N309" s="46" t="str">
        <f aca="false">IF(B309="","",IF(OR(I309="",I309="Open: needs a decision",L309=""),"Open","Closed"))</f>
        <v/>
      </c>
      <c r="O309" s="46"/>
      <c r="P309" s="46" t="str">
        <f aca="false">IF(OR(B309="",I309&lt;&gt;"Save for a later revision"),"",IF(COUNTIF('Deferred edits'!$K$2:$K$201,A309)&gt;0,"Yes","● Add to Deferred edits"))</f>
        <v/>
      </c>
    </row>
    <row r="310" customFormat="false" ht="15" hidden="false" customHeight="false" outlineLevel="0" collapsed="false">
      <c r="A310" s="46" t="s">
        <v>605</v>
      </c>
      <c r="B310" s="46"/>
      <c r="C310" s="46"/>
      <c r="D310" s="46"/>
      <c r="E310" s="46"/>
      <c r="F310" s="46"/>
      <c r="G310" s="46"/>
      <c r="H310" s="46"/>
      <c r="I310" s="46"/>
      <c r="J310" s="46"/>
      <c r="K310" s="46"/>
      <c r="L310" s="46"/>
      <c r="M310" s="46" t="str">
        <f aca="false">IF(OR(B310="",I310=""),"",IFERROR(INDEX('Comment flow'!$C$40:$C$46,MATCH(I310,'Comment flow'!$A$40:$A$46,0)),""))</f>
        <v/>
      </c>
      <c r="N310" s="46" t="str">
        <f aca="false">IF(B310="","",IF(OR(I310="",I310="Open: needs a decision",L310=""),"Open","Closed"))</f>
        <v/>
      </c>
      <c r="O310" s="46"/>
      <c r="P310" s="46" t="str">
        <f aca="false">IF(OR(B310="",I310&lt;&gt;"Save for a later revision"),"",IF(COUNTIF('Deferred edits'!$K$2:$K$201,A310)&gt;0,"Yes","● Add to Deferred edits"))</f>
        <v/>
      </c>
    </row>
    <row r="311" customFormat="false" ht="15" hidden="false" customHeight="false" outlineLevel="0" collapsed="false">
      <c r="A311" s="46" t="s">
        <v>606</v>
      </c>
      <c r="B311" s="46"/>
      <c r="C311" s="46"/>
      <c r="D311" s="46"/>
      <c r="E311" s="46"/>
      <c r="F311" s="46"/>
      <c r="G311" s="46"/>
      <c r="H311" s="46"/>
      <c r="I311" s="46"/>
      <c r="J311" s="46"/>
      <c r="K311" s="46"/>
      <c r="L311" s="46"/>
      <c r="M311" s="46" t="str">
        <f aca="false">IF(OR(B311="",I311=""),"",IFERROR(INDEX('Comment flow'!$C$40:$C$46,MATCH(I311,'Comment flow'!$A$40:$A$46,0)),""))</f>
        <v/>
      </c>
      <c r="N311" s="46" t="str">
        <f aca="false">IF(B311="","",IF(OR(I311="",I311="Open: needs a decision",L311=""),"Open","Closed"))</f>
        <v/>
      </c>
      <c r="O311" s="46"/>
      <c r="P311" s="46" t="str">
        <f aca="false">IF(OR(B311="",I311&lt;&gt;"Save for a later revision"),"",IF(COUNTIF('Deferred edits'!$K$2:$K$201,A311)&gt;0,"Yes","● Add to Deferred edits"))</f>
        <v/>
      </c>
    </row>
    <row r="312" customFormat="false" ht="15" hidden="false" customHeight="false" outlineLevel="0" collapsed="false">
      <c r="A312" s="46" t="s">
        <v>607</v>
      </c>
      <c r="B312" s="46"/>
      <c r="C312" s="46"/>
      <c r="D312" s="46"/>
      <c r="E312" s="46"/>
      <c r="F312" s="46"/>
      <c r="G312" s="46"/>
      <c r="H312" s="46"/>
      <c r="I312" s="46"/>
      <c r="J312" s="46"/>
      <c r="K312" s="46"/>
      <c r="L312" s="46"/>
      <c r="M312" s="46" t="str">
        <f aca="false">IF(OR(B312="",I312=""),"",IFERROR(INDEX('Comment flow'!$C$40:$C$46,MATCH(I312,'Comment flow'!$A$40:$A$46,0)),""))</f>
        <v/>
      </c>
      <c r="N312" s="46" t="str">
        <f aca="false">IF(B312="","",IF(OR(I312="",I312="Open: needs a decision",L312=""),"Open","Closed"))</f>
        <v/>
      </c>
      <c r="O312" s="46"/>
      <c r="P312" s="46" t="str">
        <f aca="false">IF(OR(B312="",I312&lt;&gt;"Save for a later revision"),"",IF(COUNTIF('Deferred edits'!$K$2:$K$201,A312)&gt;0,"Yes","● Add to Deferred edits"))</f>
        <v/>
      </c>
    </row>
    <row r="313" customFormat="false" ht="15" hidden="false" customHeight="false" outlineLevel="0" collapsed="false">
      <c r="A313" s="46" t="s">
        <v>608</v>
      </c>
      <c r="B313" s="46"/>
      <c r="C313" s="46"/>
      <c r="D313" s="46"/>
      <c r="E313" s="46"/>
      <c r="F313" s="46"/>
      <c r="G313" s="46"/>
      <c r="H313" s="46"/>
      <c r="I313" s="46"/>
      <c r="J313" s="46"/>
      <c r="K313" s="46"/>
      <c r="L313" s="46"/>
      <c r="M313" s="46" t="str">
        <f aca="false">IF(OR(B313="",I313=""),"",IFERROR(INDEX('Comment flow'!$C$40:$C$46,MATCH(I313,'Comment flow'!$A$40:$A$46,0)),""))</f>
        <v/>
      </c>
      <c r="N313" s="46" t="str">
        <f aca="false">IF(B313="","",IF(OR(I313="",I313="Open: needs a decision",L313=""),"Open","Closed"))</f>
        <v/>
      </c>
      <c r="O313" s="46"/>
      <c r="P313" s="46" t="str">
        <f aca="false">IF(OR(B313="",I313&lt;&gt;"Save for a later revision"),"",IF(COUNTIF('Deferred edits'!$K$2:$K$201,A313)&gt;0,"Yes","● Add to Deferred edits"))</f>
        <v/>
      </c>
    </row>
    <row r="314" customFormat="false" ht="15" hidden="false" customHeight="false" outlineLevel="0" collapsed="false">
      <c r="A314" s="46" t="s">
        <v>609</v>
      </c>
      <c r="B314" s="46"/>
      <c r="C314" s="46"/>
      <c r="D314" s="46"/>
      <c r="E314" s="46"/>
      <c r="F314" s="46"/>
      <c r="G314" s="46"/>
      <c r="H314" s="46"/>
      <c r="I314" s="46"/>
      <c r="J314" s="46"/>
      <c r="K314" s="46"/>
      <c r="L314" s="46"/>
      <c r="M314" s="46" t="str">
        <f aca="false">IF(OR(B314="",I314=""),"",IFERROR(INDEX('Comment flow'!$C$40:$C$46,MATCH(I314,'Comment flow'!$A$40:$A$46,0)),""))</f>
        <v/>
      </c>
      <c r="N314" s="46" t="str">
        <f aca="false">IF(B314="","",IF(OR(I314="",I314="Open: needs a decision",L314=""),"Open","Closed"))</f>
        <v/>
      </c>
      <c r="O314" s="46"/>
      <c r="P314" s="46" t="str">
        <f aca="false">IF(OR(B314="",I314&lt;&gt;"Save for a later revision"),"",IF(COUNTIF('Deferred edits'!$K$2:$K$201,A314)&gt;0,"Yes","● Add to Deferred edits"))</f>
        <v/>
      </c>
    </row>
    <row r="315" customFormat="false" ht="15" hidden="false" customHeight="false" outlineLevel="0" collapsed="false">
      <c r="A315" s="46" t="s">
        <v>610</v>
      </c>
      <c r="B315" s="46"/>
      <c r="C315" s="46"/>
      <c r="D315" s="46"/>
      <c r="E315" s="46"/>
      <c r="F315" s="46"/>
      <c r="G315" s="46"/>
      <c r="H315" s="46"/>
      <c r="I315" s="46"/>
      <c r="J315" s="46"/>
      <c r="K315" s="46"/>
      <c r="L315" s="46"/>
      <c r="M315" s="46" t="str">
        <f aca="false">IF(OR(B315="",I315=""),"",IFERROR(INDEX('Comment flow'!$C$40:$C$46,MATCH(I315,'Comment flow'!$A$40:$A$46,0)),""))</f>
        <v/>
      </c>
      <c r="N315" s="46" t="str">
        <f aca="false">IF(B315="","",IF(OR(I315="",I315="Open: needs a decision",L315=""),"Open","Closed"))</f>
        <v/>
      </c>
      <c r="O315" s="46"/>
      <c r="P315" s="46" t="str">
        <f aca="false">IF(OR(B315="",I315&lt;&gt;"Save for a later revision"),"",IF(COUNTIF('Deferred edits'!$K$2:$K$201,A315)&gt;0,"Yes","● Add to Deferred edits"))</f>
        <v/>
      </c>
    </row>
    <row r="316" customFormat="false" ht="15" hidden="false" customHeight="false" outlineLevel="0" collapsed="false">
      <c r="A316" s="46" t="s">
        <v>611</v>
      </c>
      <c r="B316" s="46"/>
      <c r="C316" s="46"/>
      <c r="D316" s="46"/>
      <c r="E316" s="46"/>
      <c r="F316" s="46"/>
      <c r="G316" s="46"/>
      <c r="H316" s="46"/>
      <c r="I316" s="46"/>
      <c r="J316" s="46"/>
      <c r="K316" s="46"/>
      <c r="L316" s="46"/>
      <c r="M316" s="46" t="str">
        <f aca="false">IF(OR(B316="",I316=""),"",IFERROR(INDEX('Comment flow'!$C$40:$C$46,MATCH(I316,'Comment flow'!$A$40:$A$46,0)),""))</f>
        <v/>
      </c>
      <c r="N316" s="46" t="str">
        <f aca="false">IF(B316="","",IF(OR(I316="",I316="Open: needs a decision",L316=""),"Open","Closed"))</f>
        <v/>
      </c>
      <c r="O316" s="46"/>
      <c r="P316" s="46" t="str">
        <f aca="false">IF(OR(B316="",I316&lt;&gt;"Save for a later revision"),"",IF(COUNTIF('Deferred edits'!$K$2:$K$201,A316)&gt;0,"Yes","● Add to Deferred edits"))</f>
        <v/>
      </c>
    </row>
    <row r="317" customFormat="false" ht="15" hidden="false" customHeight="false" outlineLevel="0" collapsed="false">
      <c r="A317" s="46" t="s">
        <v>612</v>
      </c>
      <c r="B317" s="46"/>
      <c r="C317" s="46"/>
      <c r="D317" s="46"/>
      <c r="E317" s="46"/>
      <c r="F317" s="46"/>
      <c r="G317" s="46"/>
      <c r="H317" s="46"/>
      <c r="I317" s="46"/>
      <c r="J317" s="46"/>
      <c r="K317" s="46"/>
      <c r="L317" s="46"/>
      <c r="M317" s="46" t="str">
        <f aca="false">IF(OR(B317="",I317=""),"",IFERROR(INDEX('Comment flow'!$C$40:$C$46,MATCH(I317,'Comment flow'!$A$40:$A$46,0)),""))</f>
        <v/>
      </c>
      <c r="N317" s="46" t="str">
        <f aca="false">IF(B317="","",IF(OR(I317="",I317="Open: needs a decision",L317=""),"Open","Closed"))</f>
        <v/>
      </c>
      <c r="O317" s="46"/>
      <c r="P317" s="46" t="str">
        <f aca="false">IF(OR(B317="",I317&lt;&gt;"Save for a later revision"),"",IF(COUNTIF('Deferred edits'!$K$2:$K$201,A317)&gt;0,"Yes","● Add to Deferred edits"))</f>
        <v/>
      </c>
    </row>
    <row r="318" customFormat="false" ht="15" hidden="false" customHeight="false" outlineLevel="0" collapsed="false">
      <c r="A318" s="46" t="s">
        <v>613</v>
      </c>
      <c r="B318" s="46"/>
      <c r="C318" s="46"/>
      <c r="D318" s="46"/>
      <c r="E318" s="46"/>
      <c r="F318" s="46"/>
      <c r="G318" s="46"/>
      <c r="H318" s="46"/>
      <c r="I318" s="46"/>
      <c r="J318" s="46"/>
      <c r="K318" s="46"/>
      <c r="L318" s="46"/>
      <c r="M318" s="46" t="str">
        <f aca="false">IF(OR(B318="",I318=""),"",IFERROR(INDEX('Comment flow'!$C$40:$C$46,MATCH(I318,'Comment flow'!$A$40:$A$46,0)),""))</f>
        <v/>
      </c>
      <c r="N318" s="46" t="str">
        <f aca="false">IF(B318="","",IF(OR(I318="",I318="Open: needs a decision",L318=""),"Open","Closed"))</f>
        <v/>
      </c>
      <c r="O318" s="46"/>
      <c r="P318" s="46" t="str">
        <f aca="false">IF(OR(B318="",I318&lt;&gt;"Save for a later revision"),"",IF(COUNTIF('Deferred edits'!$K$2:$K$201,A318)&gt;0,"Yes","● Add to Deferred edits"))</f>
        <v/>
      </c>
    </row>
    <row r="319" customFormat="false" ht="15" hidden="false" customHeight="false" outlineLevel="0" collapsed="false">
      <c r="A319" s="46" t="s">
        <v>614</v>
      </c>
      <c r="B319" s="46"/>
      <c r="C319" s="46"/>
      <c r="D319" s="46"/>
      <c r="E319" s="46"/>
      <c r="F319" s="46"/>
      <c r="G319" s="46"/>
      <c r="H319" s="46"/>
      <c r="I319" s="46"/>
      <c r="J319" s="46"/>
      <c r="K319" s="46"/>
      <c r="L319" s="46"/>
      <c r="M319" s="46" t="str">
        <f aca="false">IF(OR(B319="",I319=""),"",IFERROR(INDEX('Comment flow'!$C$40:$C$46,MATCH(I319,'Comment flow'!$A$40:$A$46,0)),""))</f>
        <v/>
      </c>
      <c r="N319" s="46" t="str">
        <f aca="false">IF(B319="","",IF(OR(I319="",I319="Open: needs a decision",L319=""),"Open","Closed"))</f>
        <v/>
      </c>
      <c r="O319" s="46"/>
      <c r="P319" s="46" t="str">
        <f aca="false">IF(OR(B319="",I319&lt;&gt;"Save for a later revision"),"",IF(COUNTIF('Deferred edits'!$K$2:$K$201,A319)&gt;0,"Yes","● Add to Deferred edits"))</f>
        <v/>
      </c>
    </row>
    <row r="320" customFormat="false" ht="15" hidden="false" customHeight="false" outlineLevel="0" collapsed="false">
      <c r="A320" s="46" t="s">
        <v>615</v>
      </c>
      <c r="B320" s="46"/>
      <c r="C320" s="46"/>
      <c r="D320" s="46"/>
      <c r="E320" s="46"/>
      <c r="F320" s="46"/>
      <c r="G320" s="46"/>
      <c r="H320" s="46"/>
      <c r="I320" s="46"/>
      <c r="J320" s="46"/>
      <c r="K320" s="46"/>
      <c r="L320" s="46"/>
      <c r="M320" s="46" t="str">
        <f aca="false">IF(OR(B320="",I320=""),"",IFERROR(INDEX('Comment flow'!$C$40:$C$46,MATCH(I320,'Comment flow'!$A$40:$A$46,0)),""))</f>
        <v/>
      </c>
      <c r="N320" s="46" t="str">
        <f aca="false">IF(B320="","",IF(OR(I320="",I320="Open: needs a decision",L320=""),"Open","Closed"))</f>
        <v/>
      </c>
      <c r="O320" s="46"/>
      <c r="P320" s="46" t="str">
        <f aca="false">IF(OR(B320="",I320&lt;&gt;"Save for a later revision"),"",IF(COUNTIF('Deferred edits'!$K$2:$K$201,A320)&gt;0,"Yes","● Add to Deferred edits"))</f>
        <v/>
      </c>
    </row>
    <row r="321" customFormat="false" ht="15" hidden="false" customHeight="false" outlineLevel="0" collapsed="false">
      <c r="A321" s="46" t="s">
        <v>616</v>
      </c>
      <c r="B321" s="46"/>
      <c r="C321" s="46"/>
      <c r="D321" s="46"/>
      <c r="E321" s="46"/>
      <c r="F321" s="46"/>
      <c r="G321" s="46"/>
      <c r="H321" s="46"/>
      <c r="I321" s="46"/>
      <c r="J321" s="46"/>
      <c r="K321" s="46"/>
      <c r="L321" s="46"/>
      <c r="M321" s="46" t="str">
        <f aca="false">IF(OR(B321="",I321=""),"",IFERROR(INDEX('Comment flow'!$C$40:$C$46,MATCH(I321,'Comment flow'!$A$40:$A$46,0)),""))</f>
        <v/>
      </c>
      <c r="N321" s="46" t="str">
        <f aca="false">IF(B321="","",IF(OR(I321="",I321="Open: needs a decision",L321=""),"Open","Closed"))</f>
        <v/>
      </c>
      <c r="O321" s="46"/>
      <c r="P321" s="46" t="str">
        <f aca="false">IF(OR(B321="",I321&lt;&gt;"Save for a later revision"),"",IF(COUNTIF('Deferred edits'!$K$2:$K$201,A321)&gt;0,"Yes","● Add to Deferred edits"))</f>
        <v/>
      </c>
    </row>
    <row r="322" customFormat="false" ht="15" hidden="false" customHeight="false" outlineLevel="0" collapsed="false">
      <c r="A322" s="46" t="s">
        <v>617</v>
      </c>
      <c r="B322" s="46"/>
      <c r="C322" s="46"/>
      <c r="D322" s="46"/>
      <c r="E322" s="46"/>
      <c r="F322" s="46"/>
      <c r="G322" s="46"/>
      <c r="H322" s="46"/>
      <c r="I322" s="46"/>
      <c r="J322" s="46"/>
      <c r="K322" s="46"/>
      <c r="L322" s="46"/>
      <c r="M322" s="46" t="str">
        <f aca="false">IF(OR(B322="",I322=""),"",IFERROR(INDEX('Comment flow'!$C$40:$C$46,MATCH(I322,'Comment flow'!$A$40:$A$46,0)),""))</f>
        <v/>
      </c>
      <c r="N322" s="46" t="str">
        <f aca="false">IF(B322="","",IF(OR(I322="",I322="Open: needs a decision",L322=""),"Open","Closed"))</f>
        <v/>
      </c>
      <c r="O322" s="46"/>
      <c r="P322" s="46" t="str">
        <f aca="false">IF(OR(B322="",I322&lt;&gt;"Save for a later revision"),"",IF(COUNTIF('Deferred edits'!$K$2:$K$201,A322)&gt;0,"Yes","● Add to Deferred edits"))</f>
        <v/>
      </c>
    </row>
    <row r="323" customFormat="false" ht="15" hidden="false" customHeight="false" outlineLevel="0" collapsed="false">
      <c r="A323" s="46" t="s">
        <v>618</v>
      </c>
      <c r="B323" s="46"/>
      <c r="C323" s="46"/>
      <c r="D323" s="46"/>
      <c r="E323" s="46"/>
      <c r="F323" s="46"/>
      <c r="G323" s="46"/>
      <c r="H323" s="46"/>
      <c r="I323" s="46"/>
      <c r="J323" s="46"/>
      <c r="K323" s="46"/>
      <c r="L323" s="46"/>
      <c r="M323" s="46" t="str">
        <f aca="false">IF(OR(B323="",I323=""),"",IFERROR(INDEX('Comment flow'!$C$40:$C$46,MATCH(I323,'Comment flow'!$A$40:$A$46,0)),""))</f>
        <v/>
      </c>
      <c r="N323" s="46" t="str">
        <f aca="false">IF(B323="","",IF(OR(I323="",I323="Open: needs a decision",L323=""),"Open","Closed"))</f>
        <v/>
      </c>
      <c r="O323" s="46"/>
      <c r="P323" s="46" t="str">
        <f aca="false">IF(OR(B323="",I323&lt;&gt;"Save for a later revision"),"",IF(COUNTIF('Deferred edits'!$K$2:$K$201,A323)&gt;0,"Yes","● Add to Deferred edits"))</f>
        <v/>
      </c>
    </row>
    <row r="324" customFormat="false" ht="15" hidden="false" customHeight="false" outlineLevel="0" collapsed="false">
      <c r="A324" s="46" t="s">
        <v>619</v>
      </c>
      <c r="B324" s="46"/>
      <c r="C324" s="46"/>
      <c r="D324" s="46"/>
      <c r="E324" s="46"/>
      <c r="F324" s="46"/>
      <c r="G324" s="46"/>
      <c r="H324" s="46"/>
      <c r="I324" s="46"/>
      <c r="J324" s="46"/>
      <c r="K324" s="46"/>
      <c r="L324" s="46"/>
      <c r="M324" s="46" t="str">
        <f aca="false">IF(OR(B324="",I324=""),"",IFERROR(INDEX('Comment flow'!$C$40:$C$46,MATCH(I324,'Comment flow'!$A$40:$A$46,0)),""))</f>
        <v/>
      </c>
      <c r="N324" s="46" t="str">
        <f aca="false">IF(B324="","",IF(OR(I324="",I324="Open: needs a decision",L324=""),"Open","Closed"))</f>
        <v/>
      </c>
      <c r="O324" s="46"/>
      <c r="P324" s="46" t="str">
        <f aca="false">IF(OR(B324="",I324&lt;&gt;"Save for a later revision"),"",IF(COUNTIF('Deferred edits'!$K$2:$K$201,A324)&gt;0,"Yes","● Add to Deferred edits"))</f>
        <v/>
      </c>
    </row>
    <row r="325" customFormat="false" ht="15" hidden="false" customHeight="false" outlineLevel="0" collapsed="false">
      <c r="A325" s="46" t="s">
        <v>620</v>
      </c>
      <c r="B325" s="46"/>
      <c r="C325" s="46"/>
      <c r="D325" s="46"/>
      <c r="E325" s="46"/>
      <c r="F325" s="46"/>
      <c r="G325" s="46"/>
      <c r="H325" s="46"/>
      <c r="I325" s="46"/>
      <c r="J325" s="46"/>
      <c r="K325" s="46"/>
      <c r="L325" s="46"/>
      <c r="M325" s="46" t="str">
        <f aca="false">IF(OR(B325="",I325=""),"",IFERROR(INDEX('Comment flow'!$C$40:$C$46,MATCH(I325,'Comment flow'!$A$40:$A$46,0)),""))</f>
        <v/>
      </c>
      <c r="N325" s="46" t="str">
        <f aca="false">IF(B325="","",IF(OR(I325="",I325="Open: needs a decision",L325=""),"Open","Closed"))</f>
        <v/>
      </c>
      <c r="O325" s="46"/>
      <c r="P325" s="46" t="str">
        <f aca="false">IF(OR(B325="",I325&lt;&gt;"Save for a later revision"),"",IF(COUNTIF('Deferred edits'!$K$2:$K$201,A325)&gt;0,"Yes","● Add to Deferred edits"))</f>
        <v/>
      </c>
    </row>
    <row r="326" customFormat="false" ht="15" hidden="false" customHeight="false" outlineLevel="0" collapsed="false">
      <c r="A326" s="46" t="s">
        <v>621</v>
      </c>
      <c r="B326" s="46"/>
      <c r="C326" s="46"/>
      <c r="D326" s="46"/>
      <c r="E326" s="46"/>
      <c r="F326" s="46"/>
      <c r="G326" s="46"/>
      <c r="H326" s="46"/>
      <c r="I326" s="46"/>
      <c r="J326" s="46"/>
      <c r="K326" s="46"/>
      <c r="L326" s="46"/>
      <c r="M326" s="46" t="str">
        <f aca="false">IF(OR(B326="",I326=""),"",IFERROR(INDEX('Comment flow'!$C$40:$C$46,MATCH(I326,'Comment flow'!$A$40:$A$46,0)),""))</f>
        <v/>
      </c>
      <c r="N326" s="46" t="str">
        <f aca="false">IF(B326="","",IF(OR(I326="",I326="Open: needs a decision",L326=""),"Open","Closed"))</f>
        <v/>
      </c>
      <c r="O326" s="46"/>
      <c r="P326" s="46" t="str">
        <f aca="false">IF(OR(B326="",I326&lt;&gt;"Save for a later revision"),"",IF(COUNTIF('Deferred edits'!$K$2:$K$201,A326)&gt;0,"Yes","● Add to Deferred edits"))</f>
        <v/>
      </c>
    </row>
    <row r="327" customFormat="false" ht="15" hidden="false" customHeight="false" outlineLevel="0" collapsed="false">
      <c r="A327" s="46" t="s">
        <v>622</v>
      </c>
      <c r="B327" s="46"/>
      <c r="C327" s="46"/>
      <c r="D327" s="46"/>
      <c r="E327" s="46"/>
      <c r="F327" s="46"/>
      <c r="G327" s="46"/>
      <c r="H327" s="46"/>
      <c r="I327" s="46"/>
      <c r="J327" s="46"/>
      <c r="K327" s="46"/>
      <c r="L327" s="46"/>
      <c r="M327" s="46" t="str">
        <f aca="false">IF(OR(B327="",I327=""),"",IFERROR(INDEX('Comment flow'!$C$40:$C$46,MATCH(I327,'Comment flow'!$A$40:$A$46,0)),""))</f>
        <v/>
      </c>
      <c r="N327" s="46" t="str">
        <f aca="false">IF(B327="","",IF(OR(I327="",I327="Open: needs a decision",L327=""),"Open","Closed"))</f>
        <v/>
      </c>
      <c r="O327" s="46"/>
      <c r="P327" s="46" t="str">
        <f aca="false">IF(OR(B327="",I327&lt;&gt;"Save for a later revision"),"",IF(COUNTIF('Deferred edits'!$K$2:$K$201,A327)&gt;0,"Yes","● Add to Deferred edits"))</f>
        <v/>
      </c>
    </row>
    <row r="328" customFormat="false" ht="15" hidden="false" customHeight="false" outlineLevel="0" collapsed="false">
      <c r="A328" s="46" t="s">
        <v>623</v>
      </c>
      <c r="B328" s="46"/>
      <c r="C328" s="46"/>
      <c r="D328" s="46"/>
      <c r="E328" s="46"/>
      <c r="F328" s="46"/>
      <c r="G328" s="46"/>
      <c r="H328" s="46"/>
      <c r="I328" s="46"/>
      <c r="J328" s="46"/>
      <c r="K328" s="46"/>
      <c r="L328" s="46"/>
      <c r="M328" s="46" t="str">
        <f aca="false">IF(OR(B328="",I328=""),"",IFERROR(INDEX('Comment flow'!$C$40:$C$46,MATCH(I328,'Comment flow'!$A$40:$A$46,0)),""))</f>
        <v/>
      </c>
      <c r="N328" s="46" t="str">
        <f aca="false">IF(B328="","",IF(OR(I328="",I328="Open: needs a decision",L328=""),"Open","Closed"))</f>
        <v/>
      </c>
      <c r="O328" s="46"/>
      <c r="P328" s="46" t="str">
        <f aca="false">IF(OR(B328="",I328&lt;&gt;"Save for a later revision"),"",IF(COUNTIF('Deferred edits'!$K$2:$K$201,A328)&gt;0,"Yes","● Add to Deferred edits"))</f>
        <v/>
      </c>
    </row>
    <row r="329" customFormat="false" ht="15" hidden="false" customHeight="false" outlineLevel="0" collapsed="false">
      <c r="A329" s="46" t="s">
        <v>624</v>
      </c>
      <c r="B329" s="46"/>
      <c r="C329" s="46"/>
      <c r="D329" s="46"/>
      <c r="E329" s="46"/>
      <c r="F329" s="46"/>
      <c r="G329" s="46"/>
      <c r="H329" s="46"/>
      <c r="I329" s="46"/>
      <c r="J329" s="46"/>
      <c r="K329" s="46"/>
      <c r="L329" s="46"/>
      <c r="M329" s="46" t="str">
        <f aca="false">IF(OR(B329="",I329=""),"",IFERROR(INDEX('Comment flow'!$C$40:$C$46,MATCH(I329,'Comment flow'!$A$40:$A$46,0)),""))</f>
        <v/>
      </c>
      <c r="N329" s="46" t="str">
        <f aca="false">IF(B329="","",IF(OR(I329="",I329="Open: needs a decision",L329=""),"Open","Closed"))</f>
        <v/>
      </c>
      <c r="O329" s="46"/>
      <c r="P329" s="46" t="str">
        <f aca="false">IF(OR(B329="",I329&lt;&gt;"Save for a later revision"),"",IF(COUNTIF('Deferred edits'!$K$2:$K$201,A329)&gt;0,"Yes","● Add to Deferred edits"))</f>
        <v/>
      </c>
    </row>
    <row r="330" customFormat="false" ht="15" hidden="false" customHeight="false" outlineLevel="0" collapsed="false">
      <c r="A330" s="46" t="s">
        <v>625</v>
      </c>
      <c r="B330" s="46"/>
      <c r="C330" s="46"/>
      <c r="D330" s="46"/>
      <c r="E330" s="46"/>
      <c r="F330" s="46"/>
      <c r="G330" s="46"/>
      <c r="H330" s="46"/>
      <c r="I330" s="46"/>
      <c r="J330" s="46"/>
      <c r="K330" s="46"/>
      <c r="L330" s="46"/>
      <c r="M330" s="46" t="str">
        <f aca="false">IF(OR(B330="",I330=""),"",IFERROR(INDEX('Comment flow'!$C$40:$C$46,MATCH(I330,'Comment flow'!$A$40:$A$46,0)),""))</f>
        <v/>
      </c>
      <c r="N330" s="46" t="str">
        <f aca="false">IF(B330="","",IF(OR(I330="",I330="Open: needs a decision",L330=""),"Open","Closed"))</f>
        <v/>
      </c>
      <c r="O330" s="46"/>
      <c r="P330" s="46" t="str">
        <f aca="false">IF(OR(B330="",I330&lt;&gt;"Save for a later revision"),"",IF(COUNTIF('Deferred edits'!$K$2:$K$201,A330)&gt;0,"Yes","● Add to Deferred edits"))</f>
        <v/>
      </c>
    </row>
    <row r="331" customFormat="false" ht="15" hidden="false" customHeight="false" outlineLevel="0" collapsed="false">
      <c r="A331" s="46" t="s">
        <v>626</v>
      </c>
      <c r="B331" s="46"/>
      <c r="C331" s="46"/>
      <c r="D331" s="46"/>
      <c r="E331" s="46"/>
      <c r="F331" s="46"/>
      <c r="G331" s="46"/>
      <c r="H331" s="46"/>
      <c r="I331" s="46"/>
      <c r="J331" s="46"/>
      <c r="K331" s="46"/>
      <c r="L331" s="46"/>
      <c r="M331" s="46" t="str">
        <f aca="false">IF(OR(B331="",I331=""),"",IFERROR(INDEX('Comment flow'!$C$40:$C$46,MATCH(I331,'Comment flow'!$A$40:$A$46,0)),""))</f>
        <v/>
      </c>
      <c r="N331" s="46" t="str">
        <f aca="false">IF(B331="","",IF(OR(I331="",I331="Open: needs a decision",L331=""),"Open","Closed"))</f>
        <v/>
      </c>
      <c r="O331" s="46"/>
      <c r="P331" s="46" t="str">
        <f aca="false">IF(OR(B331="",I331&lt;&gt;"Save for a later revision"),"",IF(COUNTIF('Deferred edits'!$K$2:$K$201,A331)&gt;0,"Yes","● Add to Deferred edits"))</f>
        <v/>
      </c>
    </row>
    <row r="332" customFormat="false" ht="15" hidden="false" customHeight="false" outlineLevel="0" collapsed="false">
      <c r="A332" s="46" t="s">
        <v>627</v>
      </c>
      <c r="B332" s="46"/>
      <c r="C332" s="46"/>
      <c r="D332" s="46"/>
      <c r="E332" s="46"/>
      <c r="F332" s="46"/>
      <c r="G332" s="46"/>
      <c r="H332" s="46"/>
      <c r="I332" s="46"/>
      <c r="J332" s="46"/>
      <c r="K332" s="46"/>
      <c r="L332" s="46"/>
      <c r="M332" s="46" t="str">
        <f aca="false">IF(OR(B332="",I332=""),"",IFERROR(INDEX('Comment flow'!$C$40:$C$46,MATCH(I332,'Comment flow'!$A$40:$A$46,0)),""))</f>
        <v/>
      </c>
      <c r="N332" s="46" t="str">
        <f aca="false">IF(B332="","",IF(OR(I332="",I332="Open: needs a decision",L332=""),"Open","Closed"))</f>
        <v/>
      </c>
      <c r="O332" s="46"/>
      <c r="P332" s="46" t="str">
        <f aca="false">IF(OR(B332="",I332&lt;&gt;"Save for a later revision"),"",IF(COUNTIF('Deferred edits'!$K$2:$K$201,A332)&gt;0,"Yes","● Add to Deferred edits"))</f>
        <v/>
      </c>
    </row>
    <row r="333" customFormat="false" ht="15" hidden="false" customHeight="false" outlineLevel="0" collapsed="false">
      <c r="A333" s="46" t="s">
        <v>628</v>
      </c>
      <c r="B333" s="46"/>
      <c r="C333" s="46"/>
      <c r="D333" s="46"/>
      <c r="E333" s="46"/>
      <c r="F333" s="46"/>
      <c r="G333" s="46"/>
      <c r="H333" s="46"/>
      <c r="I333" s="46"/>
      <c r="J333" s="46"/>
      <c r="K333" s="46"/>
      <c r="L333" s="46"/>
      <c r="M333" s="46" t="str">
        <f aca="false">IF(OR(B333="",I333=""),"",IFERROR(INDEX('Comment flow'!$C$40:$C$46,MATCH(I333,'Comment flow'!$A$40:$A$46,0)),""))</f>
        <v/>
      </c>
      <c r="N333" s="46" t="str">
        <f aca="false">IF(B333="","",IF(OR(I333="",I333="Open: needs a decision",L333=""),"Open","Closed"))</f>
        <v/>
      </c>
      <c r="O333" s="46"/>
      <c r="P333" s="46" t="str">
        <f aca="false">IF(OR(B333="",I333&lt;&gt;"Save for a later revision"),"",IF(COUNTIF('Deferred edits'!$K$2:$K$201,A333)&gt;0,"Yes","● Add to Deferred edits"))</f>
        <v/>
      </c>
    </row>
    <row r="334" customFormat="false" ht="15" hidden="false" customHeight="false" outlineLevel="0" collapsed="false">
      <c r="A334" s="46" t="s">
        <v>629</v>
      </c>
      <c r="B334" s="46"/>
      <c r="C334" s="46"/>
      <c r="D334" s="46"/>
      <c r="E334" s="46"/>
      <c r="F334" s="46"/>
      <c r="G334" s="46"/>
      <c r="H334" s="46"/>
      <c r="I334" s="46"/>
      <c r="J334" s="46"/>
      <c r="K334" s="46"/>
      <c r="L334" s="46"/>
      <c r="M334" s="46" t="str">
        <f aca="false">IF(OR(B334="",I334=""),"",IFERROR(INDEX('Comment flow'!$C$40:$C$46,MATCH(I334,'Comment flow'!$A$40:$A$46,0)),""))</f>
        <v/>
      </c>
      <c r="N334" s="46" t="str">
        <f aca="false">IF(B334="","",IF(OR(I334="",I334="Open: needs a decision",L334=""),"Open","Closed"))</f>
        <v/>
      </c>
      <c r="O334" s="46"/>
      <c r="P334" s="46" t="str">
        <f aca="false">IF(OR(B334="",I334&lt;&gt;"Save for a later revision"),"",IF(COUNTIF('Deferred edits'!$K$2:$K$201,A334)&gt;0,"Yes","● Add to Deferred edits"))</f>
        <v/>
      </c>
    </row>
    <row r="335" customFormat="false" ht="15" hidden="false" customHeight="false" outlineLevel="0" collapsed="false">
      <c r="A335" s="46" t="s">
        <v>630</v>
      </c>
      <c r="B335" s="46"/>
      <c r="C335" s="46"/>
      <c r="D335" s="46"/>
      <c r="E335" s="46"/>
      <c r="F335" s="46"/>
      <c r="G335" s="46"/>
      <c r="H335" s="46"/>
      <c r="I335" s="46"/>
      <c r="J335" s="46"/>
      <c r="K335" s="46"/>
      <c r="L335" s="46"/>
      <c r="M335" s="46" t="str">
        <f aca="false">IF(OR(B335="",I335=""),"",IFERROR(INDEX('Comment flow'!$C$40:$C$46,MATCH(I335,'Comment flow'!$A$40:$A$46,0)),""))</f>
        <v/>
      </c>
      <c r="N335" s="46" t="str">
        <f aca="false">IF(B335="","",IF(OR(I335="",I335="Open: needs a decision",L335=""),"Open","Closed"))</f>
        <v/>
      </c>
      <c r="O335" s="46"/>
      <c r="P335" s="46" t="str">
        <f aca="false">IF(OR(B335="",I335&lt;&gt;"Save for a later revision"),"",IF(COUNTIF('Deferred edits'!$K$2:$K$201,A335)&gt;0,"Yes","● Add to Deferred edits"))</f>
        <v/>
      </c>
    </row>
    <row r="336" customFormat="false" ht="15" hidden="false" customHeight="false" outlineLevel="0" collapsed="false">
      <c r="A336" s="46" t="s">
        <v>631</v>
      </c>
      <c r="B336" s="46"/>
      <c r="C336" s="46"/>
      <c r="D336" s="46"/>
      <c r="E336" s="46"/>
      <c r="F336" s="46"/>
      <c r="G336" s="46"/>
      <c r="H336" s="46"/>
      <c r="I336" s="46"/>
      <c r="J336" s="46"/>
      <c r="K336" s="46"/>
      <c r="L336" s="46"/>
      <c r="M336" s="46" t="str">
        <f aca="false">IF(OR(B336="",I336=""),"",IFERROR(INDEX('Comment flow'!$C$40:$C$46,MATCH(I336,'Comment flow'!$A$40:$A$46,0)),""))</f>
        <v/>
      </c>
      <c r="N336" s="46" t="str">
        <f aca="false">IF(B336="","",IF(OR(I336="",I336="Open: needs a decision",L336=""),"Open","Closed"))</f>
        <v/>
      </c>
      <c r="O336" s="46"/>
      <c r="P336" s="46" t="str">
        <f aca="false">IF(OR(B336="",I336&lt;&gt;"Save for a later revision"),"",IF(COUNTIF('Deferred edits'!$K$2:$K$201,A336)&gt;0,"Yes","● Add to Deferred edits"))</f>
        <v/>
      </c>
    </row>
    <row r="337" customFormat="false" ht="15" hidden="false" customHeight="false" outlineLevel="0" collapsed="false">
      <c r="A337" s="46" t="s">
        <v>632</v>
      </c>
      <c r="B337" s="46"/>
      <c r="C337" s="46"/>
      <c r="D337" s="46"/>
      <c r="E337" s="46"/>
      <c r="F337" s="46"/>
      <c r="G337" s="46"/>
      <c r="H337" s="46"/>
      <c r="I337" s="46"/>
      <c r="J337" s="46"/>
      <c r="K337" s="46"/>
      <c r="L337" s="46"/>
      <c r="M337" s="46" t="str">
        <f aca="false">IF(OR(B337="",I337=""),"",IFERROR(INDEX('Comment flow'!$C$40:$C$46,MATCH(I337,'Comment flow'!$A$40:$A$46,0)),""))</f>
        <v/>
      </c>
      <c r="N337" s="46" t="str">
        <f aca="false">IF(B337="","",IF(OR(I337="",I337="Open: needs a decision",L337=""),"Open","Closed"))</f>
        <v/>
      </c>
      <c r="O337" s="46"/>
      <c r="P337" s="46" t="str">
        <f aca="false">IF(OR(B337="",I337&lt;&gt;"Save for a later revision"),"",IF(COUNTIF('Deferred edits'!$K$2:$K$201,A337)&gt;0,"Yes","● Add to Deferred edits"))</f>
        <v/>
      </c>
    </row>
    <row r="338" customFormat="false" ht="15" hidden="false" customHeight="false" outlineLevel="0" collapsed="false">
      <c r="A338" s="46" t="s">
        <v>633</v>
      </c>
      <c r="B338" s="46"/>
      <c r="C338" s="46"/>
      <c r="D338" s="46"/>
      <c r="E338" s="46"/>
      <c r="F338" s="46"/>
      <c r="G338" s="46"/>
      <c r="H338" s="46"/>
      <c r="I338" s="46"/>
      <c r="J338" s="46"/>
      <c r="K338" s="46"/>
      <c r="L338" s="46"/>
      <c r="M338" s="46" t="str">
        <f aca="false">IF(OR(B338="",I338=""),"",IFERROR(INDEX('Comment flow'!$C$40:$C$46,MATCH(I338,'Comment flow'!$A$40:$A$46,0)),""))</f>
        <v/>
      </c>
      <c r="N338" s="46" t="str">
        <f aca="false">IF(B338="","",IF(OR(I338="",I338="Open: needs a decision",L338=""),"Open","Closed"))</f>
        <v/>
      </c>
      <c r="O338" s="46"/>
      <c r="P338" s="46" t="str">
        <f aca="false">IF(OR(B338="",I338&lt;&gt;"Save for a later revision"),"",IF(COUNTIF('Deferred edits'!$K$2:$K$201,A338)&gt;0,"Yes","● Add to Deferred edits"))</f>
        <v/>
      </c>
    </row>
    <row r="339" customFormat="false" ht="15" hidden="false" customHeight="false" outlineLevel="0" collapsed="false">
      <c r="A339" s="46" t="s">
        <v>634</v>
      </c>
      <c r="B339" s="46"/>
      <c r="C339" s="46"/>
      <c r="D339" s="46"/>
      <c r="E339" s="46"/>
      <c r="F339" s="46"/>
      <c r="G339" s="46"/>
      <c r="H339" s="46"/>
      <c r="I339" s="46"/>
      <c r="J339" s="46"/>
      <c r="K339" s="46"/>
      <c r="L339" s="46"/>
      <c r="M339" s="46" t="str">
        <f aca="false">IF(OR(B339="",I339=""),"",IFERROR(INDEX('Comment flow'!$C$40:$C$46,MATCH(I339,'Comment flow'!$A$40:$A$46,0)),""))</f>
        <v/>
      </c>
      <c r="N339" s="46" t="str">
        <f aca="false">IF(B339="","",IF(OR(I339="",I339="Open: needs a decision",L339=""),"Open","Closed"))</f>
        <v/>
      </c>
      <c r="O339" s="46"/>
      <c r="P339" s="46" t="str">
        <f aca="false">IF(OR(B339="",I339&lt;&gt;"Save for a later revision"),"",IF(COUNTIF('Deferred edits'!$K$2:$K$201,A339)&gt;0,"Yes","● Add to Deferred edits"))</f>
        <v/>
      </c>
    </row>
    <row r="340" customFormat="false" ht="15" hidden="false" customHeight="false" outlineLevel="0" collapsed="false">
      <c r="A340" s="46" t="s">
        <v>635</v>
      </c>
      <c r="B340" s="46"/>
      <c r="C340" s="46"/>
      <c r="D340" s="46"/>
      <c r="E340" s="46"/>
      <c r="F340" s="46"/>
      <c r="G340" s="46"/>
      <c r="H340" s="46"/>
      <c r="I340" s="46"/>
      <c r="J340" s="46"/>
      <c r="K340" s="46"/>
      <c r="L340" s="46"/>
      <c r="M340" s="46" t="str">
        <f aca="false">IF(OR(B340="",I340=""),"",IFERROR(INDEX('Comment flow'!$C$40:$C$46,MATCH(I340,'Comment flow'!$A$40:$A$46,0)),""))</f>
        <v/>
      </c>
      <c r="N340" s="46" t="str">
        <f aca="false">IF(B340="","",IF(OR(I340="",I340="Open: needs a decision",L340=""),"Open","Closed"))</f>
        <v/>
      </c>
      <c r="O340" s="46"/>
      <c r="P340" s="46" t="str">
        <f aca="false">IF(OR(B340="",I340&lt;&gt;"Save for a later revision"),"",IF(COUNTIF('Deferred edits'!$K$2:$K$201,A340)&gt;0,"Yes","● Add to Deferred edits"))</f>
        <v/>
      </c>
    </row>
    <row r="341" customFormat="false" ht="15" hidden="false" customHeight="false" outlineLevel="0" collapsed="false">
      <c r="A341" s="46" t="s">
        <v>636</v>
      </c>
      <c r="B341" s="46"/>
      <c r="C341" s="46"/>
      <c r="D341" s="46"/>
      <c r="E341" s="46"/>
      <c r="F341" s="46"/>
      <c r="G341" s="46"/>
      <c r="H341" s="46"/>
      <c r="I341" s="46"/>
      <c r="J341" s="46"/>
      <c r="K341" s="46"/>
      <c r="L341" s="46"/>
      <c r="M341" s="46" t="str">
        <f aca="false">IF(OR(B341="",I341=""),"",IFERROR(INDEX('Comment flow'!$C$40:$C$46,MATCH(I341,'Comment flow'!$A$40:$A$46,0)),""))</f>
        <v/>
      </c>
      <c r="N341" s="46" t="str">
        <f aca="false">IF(B341="","",IF(OR(I341="",I341="Open: needs a decision",L341=""),"Open","Closed"))</f>
        <v/>
      </c>
      <c r="O341" s="46"/>
      <c r="P341" s="46" t="str">
        <f aca="false">IF(OR(B341="",I341&lt;&gt;"Save for a later revision"),"",IF(COUNTIF('Deferred edits'!$K$2:$K$201,A341)&gt;0,"Yes","● Add to Deferred edits"))</f>
        <v/>
      </c>
    </row>
    <row r="342" customFormat="false" ht="15" hidden="false" customHeight="false" outlineLevel="0" collapsed="false">
      <c r="A342" s="46" t="s">
        <v>637</v>
      </c>
      <c r="B342" s="46"/>
      <c r="C342" s="46"/>
      <c r="D342" s="46"/>
      <c r="E342" s="46"/>
      <c r="F342" s="46"/>
      <c r="G342" s="46"/>
      <c r="H342" s="46"/>
      <c r="I342" s="46"/>
      <c r="J342" s="46"/>
      <c r="K342" s="46"/>
      <c r="L342" s="46"/>
      <c r="M342" s="46" t="str">
        <f aca="false">IF(OR(B342="",I342=""),"",IFERROR(INDEX('Comment flow'!$C$40:$C$46,MATCH(I342,'Comment flow'!$A$40:$A$46,0)),""))</f>
        <v/>
      </c>
      <c r="N342" s="46" t="str">
        <f aca="false">IF(B342="","",IF(OR(I342="",I342="Open: needs a decision",L342=""),"Open","Closed"))</f>
        <v/>
      </c>
      <c r="O342" s="46"/>
      <c r="P342" s="46" t="str">
        <f aca="false">IF(OR(B342="",I342&lt;&gt;"Save for a later revision"),"",IF(COUNTIF('Deferred edits'!$K$2:$K$201,A342)&gt;0,"Yes","● Add to Deferred edits"))</f>
        <v/>
      </c>
    </row>
    <row r="343" customFormat="false" ht="15" hidden="false" customHeight="false" outlineLevel="0" collapsed="false">
      <c r="A343" s="46" t="s">
        <v>638</v>
      </c>
      <c r="B343" s="46"/>
      <c r="C343" s="46"/>
      <c r="D343" s="46"/>
      <c r="E343" s="46"/>
      <c r="F343" s="46"/>
      <c r="G343" s="46"/>
      <c r="H343" s="46"/>
      <c r="I343" s="46"/>
      <c r="J343" s="46"/>
      <c r="K343" s="46"/>
      <c r="L343" s="46"/>
      <c r="M343" s="46" t="str">
        <f aca="false">IF(OR(B343="",I343=""),"",IFERROR(INDEX('Comment flow'!$C$40:$C$46,MATCH(I343,'Comment flow'!$A$40:$A$46,0)),""))</f>
        <v/>
      </c>
      <c r="N343" s="46" t="str">
        <f aca="false">IF(B343="","",IF(OR(I343="",I343="Open: needs a decision",L343=""),"Open","Closed"))</f>
        <v/>
      </c>
      <c r="O343" s="46"/>
      <c r="P343" s="46" t="str">
        <f aca="false">IF(OR(B343="",I343&lt;&gt;"Save for a later revision"),"",IF(COUNTIF('Deferred edits'!$K$2:$K$201,A343)&gt;0,"Yes","● Add to Deferred edits"))</f>
        <v/>
      </c>
    </row>
    <row r="344" customFormat="false" ht="15" hidden="false" customHeight="false" outlineLevel="0" collapsed="false">
      <c r="A344" s="46" t="s">
        <v>639</v>
      </c>
      <c r="B344" s="46"/>
      <c r="C344" s="46"/>
      <c r="D344" s="46"/>
      <c r="E344" s="46"/>
      <c r="F344" s="46"/>
      <c r="G344" s="46"/>
      <c r="H344" s="46"/>
      <c r="I344" s="46"/>
      <c r="J344" s="46"/>
      <c r="K344" s="46"/>
      <c r="L344" s="46"/>
      <c r="M344" s="46" t="str">
        <f aca="false">IF(OR(B344="",I344=""),"",IFERROR(INDEX('Comment flow'!$C$40:$C$46,MATCH(I344,'Comment flow'!$A$40:$A$46,0)),""))</f>
        <v/>
      </c>
      <c r="N344" s="46" t="str">
        <f aca="false">IF(B344="","",IF(OR(I344="",I344="Open: needs a decision",L344=""),"Open","Closed"))</f>
        <v/>
      </c>
      <c r="O344" s="46"/>
      <c r="P344" s="46" t="str">
        <f aca="false">IF(OR(B344="",I344&lt;&gt;"Save for a later revision"),"",IF(COUNTIF('Deferred edits'!$K$2:$K$201,A344)&gt;0,"Yes","● Add to Deferred edits"))</f>
        <v/>
      </c>
    </row>
    <row r="345" customFormat="false" ht="15" hidden="false" customHeight="false" outlineLevel="0" collapsed="false">
      <c r="A345" s="46" t="s">
        <v>640</v>
      </c>
      <c r="B345" s="46"/>
      <c r="C345" s="46"/>
      <c r="D345" s="46"/>
      <c r="E345" s="46"/>
      <c r="F345" s="46"/>
      <c r="G345" s="46"/>
      <c r="H345" s="46"/>
      <c r="I345" s="46"/>
      <c r="J345" s="46"/>
      <c r="K345" s="46"/>
      <c r="L345" s="46"/>
      <c r="M345" s="46" t="str">
        <f aca="false">IF(OR(B345="",I345=""),"",IFERROR(INDEX('Comment flow'!$C$40:$C$46,MATCH(I345,'Comment flow'!$A$40:$A$46,0)),""))</f>
        <v/>
      </c>
      <c r="N345" s="46" t="str">
        <f aca="false">IF(B345="","",IF(OR(I345="",I345="Open: needs a decision",L345=""),"Open","Closed"))</f>
        <v/>
      </c>
      <c r="O345" s="46"/>
      <c r="P345" s="46" t="str">
        <f aca="false">IF(OR(B345="",I345&lt;&gt;"Save for a later revision"),"",IF(COUNTIF('Deferred edits'!$K$2:$K$201,A345)&gt;0,"Yes","● Add to Deferred edits"))</f>
        <v/>
      </c>
    </row>
    <row r="346" customFormat="false" ht="15" hidden="false" customHeight="false" outlineLevel="0" collapsed="false">
      <c r="A346" s="46" t="s">
        <v>641</v>
      </c>
      <c r="B346" s="46"/>
      <c r="C346" s="46"/>
      <c r="D346" s="46"/>
      <c r="E346" s="46"/>
      <c r="F346" s="46"/>
      <c r="G346" s="46"/>
      <c r="H346" s="46"/>
      <c r="I346" s="46"/>
      <c r="J346" s="46"/>
      <c r="K346" s="46"/>
      <c r="L346" s="46"/>
      <c r="M346" s="46" t="str">
        <f aca="false">IF(OR(B346="",I346=""),"",IFERROR(INDEX('Comment flow'!$C$40:$C$46,MATCH(I346,'Comment flow'!$A$40:$A$46,0)),""))</f>
        <v/>
      </c>
      <c r="N346" s="46" t="str">
        <f aca="false">IF(B346="","",IF(OR(I346="",I346="Open: needs a decision",L346=""),"Open","Closed"))</f>
        <v/>
      </c>
      <c r="O346" s="46"/>
      <c r="P346" s="46" t="str">
        <f aca="false">IF(OR(B346="",I346&lt;&gt;"Save for a later revision"),"",IF(COUNTIF('Deferred edits'!$K$2:$K$201,A346)&gt;0,"Yes","● Add to Deferred edits"))</f>
        <v/>
      </c>
    </row>
    <row r="347" customFormat="false" ht="15" hidden="false" customHeight="false" outlineLevel="0" collapsed="false">
      <c r="A347" s="46" t="s">
        <v>642</v>
      </c>
      <c r="B347" s="46"/>
      <c r="C347" s="46"/>
      <c r="D347" s="46"/>
      <c r="E347" s="46"/>
      <c r="F347" s="46"/>
      <c r="G347" s="46"/>
      <c r="H347" s="46"/>
      <c r="I347" s="46"/>
      <c r="J347" s="46"/>
      <c r="K347" s="46"/>
      <c r="L347" s="46"/>
      <c r="M347" s="46" t="str">
        <f aca="false">IF(OR(B347="",I347=""),"",IFERROR(INDEX('Comment flow'!$C$40:$C$46,MATCH(I347,'Comment flow'!$A$40:$A$46,0)),""))</f>
        <v/>
      </c>
      <c r="N347" s="46" t="str">
        <f aca="false">IF(B347="","",IF(OR(I347="",I347="Open: needs a decision",L347=""),"Open","Closed"))</f>
        <v/>
      </c>
      <c r="O347" s="46"/>
      <c r="P347" s="46" t="str">
        <f aca="false">IF(OR(B347="",I347&lt;&gt;"Save for a later revision"),"",IF(COUNTIF('Deferred edits'!$K$2:$K$201,A347)&gt;0,"Yes","● Add to Deferred edits"))</f>
        <v/>
      </c>
    </row>
    <row r="348" customFormat="false" ht="15" hidden="false" customHeight="false" outlineLevel="0" collapsed="false">
      <c r="A348" s="46" t="s">
        <v>643</v>
      </c>
      <c r="B348" s="46"/>
      <c r="C348" s="46"/>
      <c r="D348" s="46"/>
      <c r="E348" s="46"/>
      <c r="F348" s="46"/>
      <c r="G348" s="46"/>
      <c r="H348" s="46"/>
      <c r="I348" s="46"/>
      <c r="J348" s="46"/>
      <c r="K348" s="46"/>
      <c r="L348" s="46"/>
      <c r="M348" s="46" t="str">
        <f aca="false">IF(OR(B348="",I348=""),"",IFERROR(INDEX('Comment flow'!$C$40:$C$46,MATCH(I348,'Comment flow'!$A$40:$A$46,0)),""))</f>
        <v/>
      </c>
      <c r="N348" s="46" t="str">
        <f aca="false">IF(B348="","",IF(OR(I348="",I348="Open: needs a decision",L348=""),"Open","Closed"))</f>
        <v/>
      </c>
      <c r="O348" s="46"/>
      <c r="P348" s="46" t="str">
        <f aca="false">IF(OR(B348="",I348&lt;&gt;"Save for a later revision"),"",IF(COUNTIF('Deferred edits'!$K$2:$K$201,A348)&gt;0,"Yes","● Add to Deferred edits"))</f>
        <v/>
      </c>
    </row>
    <row r="349" customFormat="false" ht="15" hidden="false" customHeight="false" outlineLevel="0" collapsed="false">
      <c r="A349" s="46" t="s">
        <v>644</v>
      </c>
      <c r="B349" s="46"/>
      <c r="C349" s="46"/>
      <c r="D349" s="46"/>
      <c r="E349" s="46"/>
      <c r="F349" s="46"/>
      <c r="G349" s="46"/>
      <c r="H349" s="46"/>
      <c r="I349" s="46"/>
      <c r="J349" s="46"/>
      <c r="K349" s="46"/>
      <c r="L349" s="46"/>
      <c r="M349" s="46" t="str">
        <f aca="false">IF(OR(B349="",I349=""),"",IFERROR(INDEX('Comment flow'!$C$40:$C$46,MATCH(I349,'Comment flow'!$A$40:$A$46,0)),""))</f>
        <v/>
      </c>
      <c r="N349" s="46" t="str">
        <f aca="false">IF(B349="","",IF(OR(I349="",I349="Open: needs a decision",L349=""),"Open","Closed"))</f>
        <v/>
      </c>
      <c r="O349" s="46"/>
      <c r="P349" s="46" t="str">
        <f aca="false">IF(OR(B349="",I349&lt;&gt;"Save for a later revision"),"",IF(COUNTIF('Deferred edits'!$K$2:$K$201,A349)&gt;0,"Yes","● Add to Deferred edits"))</f>
        <v/>
      </c>
    </row>
    <row r="350" customFormat="false" ht="15" hidden="false" customHeight="false" outlineLevel="0" collapsed="false">
      <c r="A350" s="46" t="s">
        <v>645</v>
      </c>
      <c r="B350" s="46"/>
      <c r="C350" s="46"/>
      <c r="D350" s="46"/>
      <c r="E350" s="46"/>
      <c r="F350" s="46"/>
      <c r="G350" s="46"/>
      <c r="H350" s="46"/>
      <c r="I350" s="46"/>
      <c r="J350" s="46"/>
      <c r="K350" s="46"/>
      <c r="L350" s="46"/>
      <c r="M350" s="46" t="str">
        <f aca="false">IF(OR(B350="",I350=""),"",IFERROR(INDEX('Comment flow'!$C$40:$C$46,MATCH(I350,'Comment flow'!$A$40:$A$46,0)),""))</f>
        <v/>
      </c>
      <c r="N350" s="46" t="str">
        <f aca="false">IF(B350="","",IF(OR(I350="",I350="Open: needs a decision",L350=""),"Open","Closed"))</f>
        <v/>
      </c>
      <c r="O350" s="46"/>
      <c r="P350" s="46" t="str">
        <f aca="false">IF(OR(B350="",I350&lt;&gt;"Save for a later revision"),"",IF(COUNTIF('Deferred edits'!$K$2:$K$201,A350)&gt;0,"Yes","● Add to Deferred edits"))</f>
        <v/>
      </c>
    </row>
    <row r="351" customFormat="false" ht="15" hidden="false" customHeight="false" outlineLevel="0" collapsed="false">
      <c r="A351" s="46" t="s">
        <v>646</v>
      </c>
      <c r="B351" s="46"/>
      <c r="C351" s="46"/>
      <c r="D351" s="46"/>
      <c r="E351" s="46"/>
      <c r="F351" s="46"/>
      <c r="G351" s="46"/>
      <c r="H351" s="46"/>
      <c r="I351" s="46"/>
      <c r="J351" s="46"/>
      <c r="K351" s="46"/>
      <c r="L351" s="46"/>
      <c r="M351" s="46" t="str">
        <f aca="false">IF(OR(B351="",I351=""),"",IFERROR(INDEX('Comment flow'!$C$40:$C$46,MATCH(I351,'Comment flow'!$A$40:$A$46,0)),""))</f>
        <v/>
      </c>
      <c r="N351" s="46" t="str">
        <f aca="false">IF(B351="","",IF(OR(I351="",I351="Open: needs a decision",L351=""),"Open","Closed"))</f>
        <v/>
      </c>
      <c r="O351" s="46"/>
      <c r="P351" s="46" t="str">
        <f aca="false">IF(OR(B351="",I351&lt;&gt;"Save for a later revision"),"",IF(COUNTIF('Deferred edits'!$K$2:$K$201,A351)&gt;0,"Yes","● Add to Deferred edits"))</f>
        <v/>
      </c>
    </row>
    <row r="352" customFormat="false" ht="15" hidden="false" customHeight="false" outlineLevel="0" collapsed="false">
      <c r="A352" s="46" t="s">
        <v>647</v>
      </c>
      <c r="B352" s="46"/>
      <c r="C352" s="46"/>
      <c r="D352" s="46"/>
      <c r="E352" s="46"/>
      <c r="F352" s="46"/>
      <c r="G352" s="46"/>
      <c r="H352" s="46"/>
      <c r="I352" s="46"/>
      <c r="J352" s="46"/>
      <c r="K352" s="46"/>
      <c r="L352" s="46"/>
      <c r="M352" s="46" t="str">
        <f aca="false">IF(OR(B352="",I352=""),"",IFERROR(INDEX('Comment flow'!$C$40:$C$46,MATCH(I352,'Comment flow'!$A$40:$A$46,0)),""))</f>
        <v/>
      </c>
      <c r="N352" s="46" t="str">
        <f aca="false">IF(B352="","",IF(OR(I352="",I352="Open: needs a decision",L352=""),"Open","Closed"))</f>
        <v/>
      </c>
      <c r="O352" s="46"/>
      <c r="P352" s="46" t="str">
        <f aca="false">IF(OR(B352="",I352&lt;&gt;"Save for a later revision"),"",IF(COUNTIF('Deferred edits'!$K$2:$K$201,A352)&gt;0,"Yes","● Add to Deferred edits"))</f>
        <v/>
      </c>
    </row>
    <row r="353" customFormat="false" ht="15" hidden="false" customHeight="false" outlineLevel="0" collapsed="false">
      <c r="A353" s="46" t="s">
        <v>648</v>
      </c>
      <c r="B353" s="46"/>
      <c r="C353" s="46"/>
      <c r="D353" s="46"/>
      <c r="E353" s="46"/>
      <c r="F353" s="46"/>
      <c r="G353" s="46"/>
      <c r="H353" s="46"/>
      <c r="I353" s="46"/>
      <c r="J353" s="46"/>
      <c r="K353" s="46"/>
      <c r="L353" s="46"/>
      <c r="M353" s="46" t="str">
        <f aca="false">IF(OR(B353="",I353=""),"",IFERROR(INDEX('Comment flow'!$C$40:$C$46,MATCH(I353,'Comment flow'!$A$40:$A$46,0)),""))</f>
        <v/>
      </c>
      <c r="N353" s="46" t="str">
        <f aca="false">IF(B353="","",IF(OR(I353="",I353="Open: needs a decision",L353=""),"Open","Closed"))</f>
        <v/>
      </c>
      <c r="O353" s="46"/>
      <c r="P353" s="46" t="str">
        <f aca="false">IF(OR(B353="",I353&lt;&gt;"Save for a later revision"),"",IF(COUNTIF('Deferred edits'!$K$2:$K$201,A353)&gt;0,"Yes","● Add to Deferred edits"))</f>
        <v/>
      </c>
    </row>
    <row r="354" customFormat="false" ht="15" hidden="false" customHeight="false" outlineLevel="0" collapsed="false">
      <c r="A354" s="46" t="s">
        <v>649</v>
      </c>
      <c r="B354" s="46"/>
      <c r="C354" s="46"/>
      <c r="D354" s="46"/>
      <c r="E354" s="46"/>
      <c r="F354" s="46"/>
      <c r="G354" s="46"/>
      <c r="H354" s="46"/>
      <c r="I354" s="46"/>
      <c r="J354" s="46"/>
      <c r="K354" s="46"/>
      <c r="L354" s="46"/>
      <c r="M354" s="46" t="str">
        <f aca="false">IF(OR(B354="",I354=""),"",IFERROR(INDEX('Comment flow'!$C$40:$C$46,MATCH(I354,'Comment flow'!$A$40:$A$46,0)),""))</f>
        <v/>
      </c>
      <c r="N354" s="46" t="str">
        <f aca="false">IF(B354="","",IF(OR(I354="",I354="Open: needs a decision",L354=""),"Open","Closed"))</f>
        <v/>
      </c>
      <c r="O354" s="46"/>
      <c r="P354" s="46" t="str">
        <f aca="false">IF(OR(B354="",I354&lt;&gt;"Save for a later revision"),"",IF(COUNTIF('Deferred edits'!$K$2:$K$201,A354)&gt;0,"Yes","● Add to Deferred edits"))</f>
        <v/>
      </c>
    </row>
    <row r="355" customFormat="false" ht="15" hidden="false" customHeight="false" outlineLevel="0" collapsed="false">
      <c r="A355" s="46" t="s">
        <v>650</v>
      </c>
      <c r="B355" s="46"/>
      <c r="C355" s="46"/>
      <c r="D355" s="46"/>
      <c r="E355" s="46"/>
      <c r="F355" s="46"/>
      <c r="G355" s="46"/>
      <c r="H355" s="46"/>
      <c r="I355" s="46"/>
      <c r="J355" s="46"/>
      <c r="K355" s="46"/>
      <c r="L355" s="46"/>
      <c r="M355" s="46" t="str">
        <f aca="false">IF(OR(B355="",I355=""),"",IFERROR(INDEX('Comment flow'!$C$40:$C$46,MATCH(I355,'Comment flow'!$A$40:$A$46,0)),""))</f>
        <v/>
      </c>
      <c r="N355" s="46" t="str">
        <f aca="false">IF(B355="","",IF(OR(I355="",I355="Open: needs a decision",L355=""),"Open","Closed"))</f>
        <v/>
      </c>
      <c r="O355" s="46"/>
      <c r="P355" s="46" t="str">
        <f aca="false">IF(OR(B355="",I355&lt;&gt;"Save for a later revision"),"",IF(COUNTIF('Deferred edits'!$K$2:$K$201,A355)&gt;0,"Yes","● Add to Deferred edits"))</f>
        <v/>
      </c>
    </row>
    <row r="356" customFormat="false" ht="15" hidden="false" customHeight="false" outlineLevel="0" collapsed="false">
      <c r="A356" s="46" t="s">
        <v>651</v>
      </c>
      <c r="B356" s="46"/>
      <c r="C356" s="46"/>
      <c r="D356" s="46"/>
      <c r="E356" s="46"/>
      <c r="F356" s="46"/>
      <c r="G356" s="46"/>
      <c r="H356" s="46"/>
      <c r="I356" s="46"/>
      <c r="J356" s="46"/>
      <c r="K356" s="46"/>
      <c r="L356" s="46"/>
      <c r="M356" s="46" t="str">
        <f aca="false">IF(OR(B356="",I356=""),"",IFERROR(INDEX('Comment flow'!$C$40:$C$46,MATCH(I356,'Comment flow'!$A$40:$A$46,0)),""))</f>
        <v/>
      </c>
      <c r="N356" s="46" t="str">
        <f aca="false">IF(B356="","",IF(OR(I356="",I356="Open: needs a decision",L356=""),"Open","Closed"))</f>
        <v/>
      </c>
      <c r="O356" s="46"/>
      <c r="P356" s="46" t="str">
        <f aca="false">IF(OR(B356="",I356&lt;&gt;"Save for a later revision"),"",IF(COUNTIF('Deferred edits'!$K$2:$K$201,A356)&gt;0,"Yes","● Add to Deferred edits"))</f>
        <v/>
      </c>
    </row>
    <row r="357" customFormat="false" ht="15" hidden="false" customHeight="false" outlineLevel="0" collapsed="false">
      <c r="A357" s="46" t="s">
        <v>652</v>
      </c>
      <c r="B357" s="46"/>
      <c r="C357" s="46"/>
      <c r="D357" s="46"/>
      <c r="E357" s="46"/>
      <c r="F357" s="46"/>
      <c r="G357" s="46"/>
      <c r="H357" s="46"/>
      <c r="I357" s="46"/>
      <c r="J357" s="46"/>
      <c r="K357" s="46"/>
      <c r="L357" s="46"/>
      <c r="M357" s="46" t="str">
        <f aca="false">IF(OR(B357="",I357=""),"",IFERROR(INDEX('Comment flow'!$C$40:$C$46,MATCH(I357,'Comment flow'!$A$40:$A$46,0)),""))</f>
        <v/>
      </c>
      <c r="N357" s="46" t="str">
        <f aca="false">IF(B357="","",IF(OR(I357="",I357="Open: needs a decision",L357=""),"Open","Closed"))</f>
        <v/>
      </c>
      <c r="O357" s="46"/>
      <c r="P357" s="46" t="str">
        <f aca="false">IF(OR(B357="",I357&lt;&gt;"Save for a later revision"),"",IF(COUNTIF('Deferred edits'!$K$2:$K$201,A357)&gt;0,"Yes","● Add to Deferred edits"))</f>
        <v/>
      </c>
    </row>
    <row r="358" customFormat="false" ht="15" hidden="false" customHeight="false" outlineLevel="0" collapsed="false">
      <c r="A358" s="46" t="s">
        <v>653</v>
      </c>
      <c r="B358" s="46"/>
      <c r="C358" s="46"/>
      <c r="D358" s="46"/>
      <c r="E358" s="46"/>
      <c r="F358" s="46"/>
      <c r="G358" s="46"/>
      <c r="H358" s="46"/>
      <c r="I358" s="46"/>
      <c r="J358" s="46"/>
      <c r="K358" s="46"/>
      <c r="L358" s="46"/>
      <c r="M358" s="46" t="str">
        <f aca="false">IF(OR(B358="",I358=""),"",IFERROR(INDEX('Comment flow'!$C$40:$C$46,MATCH(I358,'Comment flow'!$A$40:$A$46,0)),""))</f>
        <v/>
      </c>
      <c r="N358" s="46" t="str">
        <f aca="false">IF(B358="","",IF(OR(I358="",I358="Open: needs a decision",L358=""),"Open","Closed"))</f>
        <v/>
      </c>
      <c r="O358" s="46"/>
      <c r="P358" s="46" t="str">
        <f aca="false">IF(OR(B358="",I358&lt;&gt;"Save for a later revision"),"",IF(COUNTIF('Deferred edits'!$K$2:$K$201,A358)&gt;0,"Yes","● Add to Deferred edits"))</f>
        <v/>
      </c>
    </row>
    <row r="359" customFormat="false" ht="15" hidden="false" customHeight="false" outlineLevel="0" collapsed="false">
      <c r="A359" s="46" t="s">
        <v>654</v>
      </c>
      <c r="B359" s="46"/>
      <c r="C359" s="46"/>
      <c r="D359" s="46"/>
      <c r="E359" s="46"/>
      <c r="F359" s="46"/>
      <c r="G359" s="46"/>
      <c r="H359" s="46"/>
      <c r="I359" s="46"/>
      <c r="J359" s="46"/>
      <c r="K359" s="46"/>
      <c r="L359" s="46"/>
      <c r="M359" s="46" t="str">
        <f aca="false">IF(OR(B359="",I359=""),"",IFERROR(INDEX('Comment flow'!$C$40:$C$46,MATCH(I359,'Comment flow'!$A$40:$A$46,0)),""))</f>
        <v/>
      </c>
      <c r="N359" s="46" t="str">
        <f aca="false">IF(B359="","",IF(OR(I359="",I359="Open: needs a decision",L359=""),"Open","Closed"))</f>
        <v/>
      </c>
      <c r="O359" s="46"/>
      <c r="P359" s="46" t="str">
        <f aca="false">IF(OR(B359="",I359&lt;&gt;"Save for a later revision"),"",IF(COUNTIF('Deferred edits'!$K$2:$K$201,A359)&gt;0,"Yes","● Add to Deferred edits"))</f>
        <v/>
      </c>
    </row>
    <row r="360" customFormat="false" ht="15" hidden="false" customHeight="false" outlineLevel="0" collapsed="false">
      <c r="A360" s="46" t="s">
        <v>655</v>
      </c>
      <c r="B360" s="46"/>
      <c r="C360" s="46"/>
      <c r="D360" s="46"/>
      <c r="E360" s="46"/>
      <c r="F360" s="46"/>
      <c r="G360" s="46"/>
      <c r="H360" s="46"/>
      <c r="I360" s="46"/>
      <c r="J360" s="46"/>
      <c r="K360" s="46"/>
      <c r="L360" s="46"/>
      <c r="M360" s="46" t="str">
        <f aca="false">IF(OR(B360="",I360=""),"",IFERROR(INDEX('Comment flow'!$C$40:$C$46,MATCH(I360,'Comment flow'!$A$40:$A$46,0)),""))</f>
        <v/>
      </c>
      <c r="N360" s="46" t="str">
        <f aca="false">IF(B360="","",IF(OR(I360="",I360="Open: needs a decision",L360=""),"Open","Closed"))</f>
        <v/>
      </c>
      <c r="O360" s="46"/>
      <c r="P360" s="46" t="str">
        <f aca="false">IF(OR(B360="",I360&lt;&gt;"Save for a later revision"),"",IF(COUNTIF('Deferred edits'!$K$2:$K$201,A360)&gt;0,"Yes","● Add to Deferred edits"))</f>
        <v/>
      </c>
    </row>
    <row r="361" customFormat="false" ht="15" hidden="false" customHeight="false" outlineLevel="0" collapsed="false">
      <c r="A361" s="46" t="s">
        <v>656</v>
      </c>
      <c r="B361" s="46"/>
      <c r="C361" s="46"/>
      <c r="D361" s="46"/>
      <c r="E361" s="46"/>
      <c r="F361" s="46"/>
      <c r="G361" s="46"/>
      <c r="H361" s="46"/>
      <c r="I361" s="46"/>
      <c r="J361" s="46"/>
      <c r="K361" s="46"/>
      <c r="L361" s="46"/>
      <c r="M361" s="46" t="str">
        <f aca="false">IF(OR(B361="",I361=""),"",IFERROR(INDEX('Comment flow'!$C$40:$C$46,MATCH(I361,'Comment flow'!$A$40:$A$46,0)),""))</f>
        <v/>
      </c>
      <c r="N361" s="46" t="str">
        <f aca="false">IF(B361="","",IF(OR(I361="",I361="Open: needs a decision",L361=""),"Open","Closed"))</f>
        <v/>
      </c>
      <c r="O361" s="46"/>
      <c r="P361" s="46" t="str">
        <f aca="false">IF(OR(B361="",I361&lt;&gt;"Save for a later revision"),"",IF(COUNTIF('Deferred edits'!$K$2:$K$201,A361)&gt;0,"Yes","● Add to Deferred edits"))</f>
        <v/>
      </c>
    </row>
    <row r="362" customFormat="false" ht="15" hidden="false" customHeight="false" outlineLevel="0" collapsed="false">
      <c r="A362" s="46" t="s">
        <v>657</v>
      </c>
      <c r="B362" s="46"/>
      <c r="C362" s="46"/>
      <c r="D362" s="46"/>
      <c r="E362" s="46"/>
      <c r="F362" s="46"/>
      <c r="G362" s="46"/>
      <c r="H362" s="46"/>
      <c r="I362" s="46"/>
      <c r="J362" s="46"/>
      <c r="K362" s="46"/>
      <c r="L362" s="46"/>
      <c r="M362" s="46" t="str">
        <f aca="false">IF(OR(B362="",I362=""),"",IFERROR(INDEX('Comment flow'!$C$40:$C$46,MATCH(I362,'Comment flow'!$A$40:$A$46,0)),""))</f>
        <v/>
      </c>
      <c r="N362" s="46" t="str">
        <f aca="false">IF(B362="","",IF(OR(I362="",I362="Open: needs a decision",L362=""),"Open","Closed"))</f>
        <v/>
      </c>
      <c r="O362" s="46"/>
      <c r="P362" s="46" t="str">
        <f aca="false">IF(OR(B362="",I362&lt;&gt;"Save for a later revision"),"",IF(COUNTIF('Deferred edits'!$K$2:$K$201,A362)&gt;0,"Yes","● Add to Deferred edits"))</f>
        <v/>
      </c>
    </row>
    <row r="363" customFormat="false" ht="15" hidden="false" customHeight="false" outlineLevel="0" collapsed="false">
      <c r="A363" s="46" t="s">
        <v>658</v>
      </c>
      <c r="B363" s="46"/>
      <c r="C363" s="46"/>
      <c r="D363" s="46"/>
      <c r="E363" s="46"/>
      <c r="F363" s="46"/>
      <c r="G363" s="46"/>
      <c r="H363" s="46"/>
      <c r="I363" s="46"/>
      <c r="J363" s="46"/>
      <c r="K363" s="46"/>
      <c r="L363" s="46"/>
      <c r="M363" s="46" t="str">
        <f aca="false">IF(OR(B363="",I363=""),"",IFERROR(INDEX('Comment flow'!$C$40:$C$46,MATCH(I363,'Comment flow'!$A$40:$A$46,0)),""))</f>
        <v/>
      </c>
      <c r="N363" s="46" t="str">
        <f aca="false">IF(B363="","",IF(OR(I363="",I363="Open: needs a decision",L363=""),"Open","Closed"))</f>
        <v/>
      </c>
      <c r="O363" s="46"/>
      <c r="P363" s="46" t="str">
        <f aca="false">IF(OR(B363="",I363&lt;&gt;"Save for a later revision"),"",IF(COUNTIF('Deferred edits'!$K$2:$K$201,A363)&gt;0,"Yes","● Add to Deferred edits"))</f>
        <v/>
      </c>
    </row>
    <row r="364" customFormat="false" ht="15" hidden="false" customHeight="false" outlineLevel="0" collapsed="false">
      <c r="A364" s="46" t="s">
        <v>659</v>
      </c>
      <c r="B364" s="46"/>
      <c r="C364" s="46"/>
      <c r="D364" s="46"/>
      <c r="E364" s="46"/>
      <c r="F364" s="46"/>
      <c r="G364" s="46"/>
      <c r="H364" s="46"/>
      <c r="I364" s="46"/>
      <c r="J364" s="46"/>
      <c r="K364" s="46"/>
      <c r="L364" s="46"/>
      <c r="M364" s="46" t="str">
        <f aca="false">IF(OR(B364="",I364=""),"",IFERROR(INDEX('Comment flow'!$C$40:$C$46,MATCH(I364,'Comment flow'!$A$40:$A$46,0)),""))</f>
        <v/>
      </c>
      <c r="N364" s="46" t="str">
        <f aca="false">IF(B364="","",IF(OR(I364="",I364="Open: needs a decision",L364=""),"Open","Closed"))</f>
        <v/>
      </c>
      <c r="O364" s="46"/>
      <c r="P364" s="46" t="str">
        <f aca="false">IF(OR(B364="",I364&lt;&gt;"Save for a later revision"),"",IF(COUNTIF('Deferred edits'!$K$2:$K$201,A364)&gt;0,"Yes","● Add to Deferred edits"))</f>
        <v/>
      </c>
    </row>
    <row r="365" customFormat="false" ht="15" hidden="false" customHeight="false" outlineLevel="0" collapsed="false">
      <c r="A365" s="46" t="s">
        <v>660</v>
      </c>
      <c r="B365" s="46"/>
      <c r="C365" s="46"/>
      <c r="D365" s="46"/>
      <c r="E365" s="46"/>
      <c r="F365" s="46"/>
      <c r="G365" s="46"/>
      <c r="H365" s="46"/>
      <c r="I365" s="46"/>
      <c r="J365" s="46"/>
      <c r="K365" s="46"/>
      <c r="L365" s="46"/>
      <c r="M365" s="46" t="str">
        <f aca="false">IF(OR(B365="",I365=""),"",IFERROR(INDEX('Comment flow'!$C$40:$C$46,MATCH(I365,'Comment flow'!$A$40:$A$46,0)),""))</f>
        <v/>
      </c>
      <c r="N365" s="46" t="str">
        <f aca="false">IF(B365="","",IF(OR(I365="",I365="Open: needs a decision",L365=""),"Open","Closed"))</f>
        <v/>
      </c>
      <c r="O365" s="46"/>
      <c r="P365" s="46" t="str">
        <f aca="false">IF(OR(B365="",I365&lt;&gt;"Save for a later revision"),"",IF(COUNTIF('Deferred edits'!$K$2:$K$201,A365)&gt;0,"Yes","● Add to Deferred edits"))</f>
        <v/>
      </c>
    </row>
    <row r="366" customFormat="false" ht="15" hidden="false" customHeight="false" outlineLevel="0" collapsed="false">
      <c r="A366" s="46" t="s">
        <v>661</v>
      </c>
      <c r="B366" s="46"/>
      <c r="C366" s="46"/>
      <c r="D366" s="46"/>
      <c r="E366" s="46"/>
      <c r="F366" s="46"/>
      <c r="G366" s="46"/>
      <c r="H366" s="46"/>
      <c r="I366" s="46"/>
      <c r="J366" s="46"/>
      <c r="K366" s="46"/>
      <c r="L366" s="46"/>
      <c r="M366" s="46" t="str">
        <f aca="false">IF(OR(B366="",I366=""),"",IFERROR(INDEX('Comment flow'!$C$40:$C$46,MATCH(I366,'Comment flow'!$A$40:$A$46,0)),""))</f>
        <v/>
      </c>
      <c r="N366" s="46" t="str">
        <f aca="false">IF(B366="","",IF(OR(I366="",I366="Open: needs a decision",L366=""),"Open","Closed"))</f>
        <v/>
      </c>
      <c r="O366" s="46"/>
      <c r="P366" s="46" t="str">
        <f aca="false">IF(OR(B366="",I366&lt;&gt;"Save for a later revision"),"",IF(COUNTIF('Deferred edits'!$K$2:$K$201,A366)&gt;0,"Yes","● Add to Deferred edits"))</f>
        <v/>
      </c>
    </row>
    <row r="367" customFormat="false" ht="15" hidden="false" customHeight="false" outlineLevel="0" collapsed="false">
      <c r="A367" s="46" t="s">
        <v>662</v>
      </c>
      <c r="B367" s="46"/>
      <c r="C367" s="46"/>
      <c r="D367" s="46"/>
      <c r="E367" s="46"/>
      <c r="F367" s="46"/>
      <c r="G367" s="46"/>
      <c r="H367" s="46"/>
      <c r="I367" s="46"/>
      <c r="J367" s="46"/>
      <c r="K367" s="46"/>
      <c r="L367" s="46"/>
      <c r="M367" s="46" t="str">
        <f aca="false">IF(OR(B367="",I367=""),"",IFERROR(INDEX('Comment flow'!$C$40:$C$46,MATCH(I367,'Comment flow'!$A$40:$A$46,0)),""))</f>
        <v/>
      </c>
      <c r="N367" s="46" t="str">
        <f aca="false">IF(B367="","",IF(OR(I367="",I367="Open: needs a decision",L367=""),"Open","Closed"))</f>
        <v/>
      </c>
      <c r="O367" s="46"/>
      <c r="P367" s="46" t="str">
        <f aca="false">IF(OR(B367="",I367&lt;&gt;"Save for a later revision"),"",IF(COUNTIF('Deferred edits'!$K$2:$K$201,A367)&gt;0,"Yes","● Add to Deferred edits"))</f>
        <v/>
      </c>
    </row>
    <row r="368" customFormat="false" ht="15" hidden="false" customHeight="false" outlineLevel="0" collapsed="false">
      <c r="A368" s="46" t="s">
        <v>663</v>
      </c>
      <c r="B368" s="46"/>
      <c r="C368" s="46"/>
      <c r="D368" s="46"/>
      <c r="E368" s="46"/>
      <c r="F368" s="46"/>
      <c r="G368" s="46"/>
      <c r="H368" s="46"/>
      <c r="I368" s="46"/>
      <c r="J368" s="46"/>
      <c r="K368" s="46"/>
      <c r="L368" s="46"/>
      <c r="M368" s="46" t="str">
        <f aca="false">IF(OR(B368="",I368=""),"",IFERROR(INDEX('Comment flow'!$C$40:$C$46,MATCH(I368,'Comment flow'!$A$40:$A$46,0)),""))</f>
        <v/>
      </c>
      <c r="N368" s="46" t="str">
        <f aca="false">IF(B368="","",IF(OR(I368="",I368="Open: needs a decision",L368=""),"Open","Closed"))</f>
        <v/>
      </c>
      <c r="O368" s="46"/>
      <c r="P368" s="46" t="str">
        <f aca="false">IF(OR(B368="",I368&lt;&gt;"Save for a later revision"),"",IF(COUNTIF('Deferred edits'!$K$2:$K$201,A368)&gt;0,"Yes","● Add to Deferred edits"))</f>
        <v/>
      </c>
    </row>
    <row r="369" customFormat="false" ht="15" hidden="false" customHeight="false" outlineLevel="0" collapsed="false">
      <c r="A369" s="46" t="s">
        <v>664</v>
      </c>
      <c r="B369" s="46"/>
      <c r="C369" s="46"/>
      <c r="D369" s="46"/>
      <c r="E369" s="46"/>
      <c r="F369" s="46"/>
      <c r="G369" s="46"/>
      <c r="H369" s="46"/>
      <c r="I369" s="46"/>
      <c r="J369" s="46"/>
      <c r="K369" s="46"/>
      <c r="L369" s="46"/>
      <c r="M369" s="46" t="str">
        <f aca="false">IF(OR(B369="",I369=""),"",IFERROR(INDEX('Comment flow'!$C$40:$C$46,MATCH(I369,'Comment flow'!$A$40:$A$46,0)),""))</f>
        <v/>
      </c>
      <c r="N369" s="46" t="str">
        <f aca="false">IF(B369="","",IF(OR(I369="",I369="Open: needs a decision",L369=""),"Open","Closed"))</f>
        <v/>
      </c>
      <c r="O369" s="46"/>
      <c r="P369" s="46" t="str">
        <f aca="false">IF(OR(B369="",I369&lt;&gt;"Save for a later revision"),"",IF(COUNTIF('Deferred edits'!$K$2:$K$201,A369)&gt;0,"Yes","● Add to Deferred edits"))</f>
        <v/>
      </c>
    </row>
    <row r="370" customFormat="false" ht="15" hidden="false" customHeight="false" outlineLevel="0" collapsed="false">
      <c r="A370" s="46" t="s">
        <v>665</v>
      </c>
      <c r="B370" s="46"/>
      <c r="C370" s="46"/>
      <c r="D370" s="46"/>
      <c r="E370" s="46"/>
      <c r="F370" s="46"/>
      <c r="G370" s="46"/>
      <c r="H370" s="46"/>
      <c r="I370" s="46"/>
      <c r="J370" s="46"/>
      <c r="K370" s="46"/>
      <c r="L370" s="46"/>
      <c r="M370" s="46" t="str">
        <f aca="false">IF(OR(B370="",I370=""),"",IFERROR(INDEX('Comment flow'!$C$40:$C$46,MATCH(I370,'Comment flow'!$A$40:$A$46,0)),""))</f>
        <v/>
      </c>
      <c r="N370" s="46" t="str">
        <f aca="false">IF(B370="","",IF(OR(I370="",I370="Open: needs a decision",L370=""),"Open","Closed"))</f>
        <v/>
      </c>
      <c r="O370" s="46"/>
      <c r="P370" s="46" t="str">
        <f aca="false">IF(OR(B370="",I370&lt;&gt;"Save for a later revision"),"",IF(COUNTIF('Deferred edits'!$K$2:$K$201,A370)&gt;0,"Yes","● Add to Deferred edits"))</f>
        <v/>
      </c>
    </row>
    <row r="371" customFormat="false" ht="15" hidden="false" customHeight="false" outlineLevel="0" collapsed="false">
      <c r="A371" s="46" t="s">
        <v>666</v>
      </c>
      <c r="B371" s="46"/>
      <c r="C371" s="46"/>
      <c r="D371" s="46"/>
      <c r="E371" s="46"/>
      <c r="F371" s="46"/>
      <c r="G371" s="46"/>
      <c r="H371" s="46"/>
      <c r="I371" s="46"/>
      <c r="J371" s="46"/>
      <c r="K371" s="46"/>
      <c r="L371" s="46"/>
      <c r="M371" s="46" t="str">
        <f aca="false">IF(OR(B371="",I371=""),"",IFERROR(INDEX('Comment flow'!$C$40:$C$46,MATCH(I371,'Comment flow'!$A$40:$A$46,0)),""))</f>
        <v/>
      </c>
      <c r="N371" s="46" t="str">
        <f aca="false">IF(B371="","",IF(OR(I371="",I371="Open: needs a decision",L371=""),"Open","Closed"))</f>
        <v/>
      </c>
      <c r="O371" s="46"/>
      <c r="P371" s="46" t="str">
        <f aca="false">IF(OR(B371="",I371&lt;&gt;"Save for a later revision"),"",IF(COUNTIF('Deferred edits'!$K$2:$K$201,A371)&gt;0,"Yes","● Add to Deferred edits"))</f>
        <v/>
      </c>
    </row>
    <row r="372" customFormat="false" ht="15" hidden="false" customHeight="false" outlineLevel="0" collapsed="false">
      <c r="A372" s="46" t="s">
        <v>667</v>
      </c>
      <c r="B372" s="46"/>
      <c r="C372" s="46"/>
      <c r="D372" s="46"/>
      <c r="E372" s="46"/>
      <c r="F372" s="46"/>
      <c r="G372" s="46"/>
      <c r="H372" s="46"/>
      <c r="I372" s="46"/>
      <c r="J372" s="46"/>
      <c r="K372" s="46"/>
      <c r="L372" s="46"/>
      <c r="M372" s="46" t="str">
        <f aca="false">IF(OR(B372="",I372=""),"",IFERROR(INDEX('Comment flow'!$C$40:$C$46,MATCH(I372,'Comment flow'!$A$40:$A$46,0)),""))</f>
        <v/>
      </c>
      <c r="N372" s="46" t="str">
        <f aca="false">IF(B372="","",IF(OR(I372="",I372="Open: needs a decision",L372=""),"Open","Closed"))</f>
        <v/>
      </c>
      <c r="O372" s="46"/>
      <c r="P372" s="46" t="str">
        <f aca="false">IF(OR(B372="",I372&lt;&gt;"Save for a later revision"),"",IF(COUNTIF('Deferred edits'!$K$2:$K$201,A372)&gt;0,"Yes","● Add to Deferred edits"))</f>
        <v/>
      </c>
    </row>
    <row r="373" customFormat="false" ht="15" hidden="false" customHeight="false" outlineLevel="0" collapsed="false">
      <c r="A373" s="46" t="s">
        <v>668</v>
      </c>
      <c r="B373" s="46"/>
      <c r="C373" s="46"/>
      <c r="D373" s="46"/>
      <c r="E373" s="46"/>
      <c r="F373" s="46"/>
      <c r="G373" s="46"/>
      <c r="H373" s="46"/>
      <c r="I373" s="46"/>
      <c r="J373" s="46"/>
      <c r="K373" s="46"/>
      <c r="L373" s="46"/>
      <c r="M373" s="46" t="str">
        <f aca="false">IF(OR(B373="",I373=""),"",IFERROR(INDEX('Comment flow'!$C$40:$C$46,MATCH(I373,'Comment flow'!$A$40:$A$46,0)),""))</f>
        <v/>
      </c>
      <c r="N373" s="46" t="str">
        <f aca="false">IF(B373="","",IF(OR(I373="",I373="Open: needs a decision",L373=""),"Open","Closed"))</f>
        <v/>
      </c>
      <c r="O373" s="46"/>
      <c r="P373" s="46" t="str">
        <f aca="false">IF(OR(B373="",I373&lt;&gt;"Save for a later revision"),"",IF(COUNTIF('Deferred edits'!$K$2:$K$201,A373)&gt;0,"Yes","● Add to Deferred edits"))</f>
        <v/>
      </c>
    </row>
    <row r="374" customFormat="false" ht="15" hidden="false" customHeight="false" outlineLevel="0" collapsed="false">
      <c r="A374" s="46" t="s">
        <v>669</v>
      </c>
      <c r="B374" s="46"/>
      <c r="C374" s="46"/>
      <c r="D374" s="46"/>
      <c r="E374" s="46"/>
      <c r="F374" s="46"/>
      <c r="G374" s="46"/>
      <c r="H374" s="46"/>
      <c r="I374" s="46"/>
      <c r="J374" s="46"/>
      <c r="K374" s="46"/>
      <c r="L374" s="46"/>
      <c r="M374" s="46" t="str">
        <f aca="false">IF(OR(B374="",I374=""),"",IFERROR(INDEX('Comment flow'!$C$40:$C$46,MATCH(I374,'Comment flow'!$A$40:$A$46,0)),""))</f>
        <v/>
      </c>
      <c r="N374" s="46" t="str">
        <f aca="false">IF(B374="","",IF(OR(I374="",I374="Open: needs a decision",L374=""),"Open","Closed"))</f>
        <v/>
      </c>
      <c r="O374" s="46"/>
      <c r="P374" s="46" t="str">
        <f aca="false">IF(OR(B374="",I374&lt;&gt;"Save for a later revision"),"",IF(COUNTIF('Deferred edits'!$K$2:$K$201,A374)&gt;0,"Yes","● Add to Deferred edits"))</f>
        <v/>
      </c>
    </row>
    <row r="375" customFormat="false" ht="15" hidden="false" customHeight="false" outlineLevel="0" collapsed="false">
      <c r="A375" s="46" t="s">
        <v>670</v>
      </c>
      <c r="B375" s="46"/>
      <c r="C375" s="46"/>
      <c r="D375" s="46"/>
      <c r="E375" s="46"/>
      <c r="F375" s="46"/>
      <c r="G375" s="46"/>
      <c r="H375" s="46"/>
      <c r="I375" s="46"/>
      <c r="J375" s="46"/>
      <c r="K375" s="46"/>
      <c r="L375" s="46"/>
      <c r="M375" s="46" t="str">
        <f aca="false">IF(OR(B375="",I375=""),"",IFERROR(INDEX('Comment flow'!$C$40:$C$46,MATCH(I375,'Comment flow'!$A$40:$A$46,0)),""))</f>
        <v/>
      </c>
      <c r="N375" s="46" t="str">
        <f aca="false">IF(B375="","",IF(OR(I375="",I375="Open: needs a decision",L375=""),"Open","Closed"))</f>
        <v/>
      </c>
      <c r="O375" s="46"/>
      <c r="P375" s="46" t="str">
        <f aca="false">IF(OR(B375="",I375&lt;&gt;"Save for a later revision"),"",IF(COUNTIF('Deferred edits'!$K$2:$K$201,A375)&gt;0,"Yes","● Add to Deferred edits"))</f>
        <v/>
      </c>
    </row>
    <row r="376" customFormat="false" ht="15" hidden="false" customHeight="false" outlineLevel="0" collapsed="false">
      <c r="A376" s="46" t="s">
        <v>671</v>
      </c>
      <c r="B376" s="46"/>
      <c r="C376" s="46"/>
      <c r="D376" s="46"/>
      <c r="E376" s="46"/>
      <c r="F376" s="46"/>
      <c r="G376" s="46"/>
      <c r="H376" s="46"/>
      <c r="I376" s="46"/>
      <c r="J376" s="46"/>
      <c r="K376" s="46"/>
      <c r="L376" s="46"/>
      <c r="M376" s="46" t="str">
        <f aca="false">IF(OR(B376="",I376=""),"",IFERROR(INDEX('Comment flow'!$C$40:$C$46,MATCH(I376,'Comment flow'!$A$40:$A$46,0)),""))</f>
        <v/>
      </c>
      <c r="N376" s="46" t="str">
        <f aca="false">IF(B376="","",IF(OR(I376="",I376="Open: needs a decision",L376=""),"Open","Closed"))</f>
        <v/>
      </c>
      <c r="O376" s="46"/>
      <c r="P376" s="46" t="str">
        <f aca="false">IF(OR(B376="",I376&lt;&gt;"Save for a later revision"),"",IF(COUNTIF('Deferred edits'!$K$2:$K$201,A376)&gt;0,"Yes","● Add to Deferred edits"))</f>
        <v/>
      </c>
    </row>
    <row r="377" customFormat="false" ht="15" hidden="false" customHeight="false" outlineLevel="0" collapsed="false">
      <c r="A377" s="46" t="s">
        <v>672</v>
      </c>
      <c r="B377" s="46"/>
      <c r="C377" s="46"/>
      <c r="D377" s="46"/>
      <c r="E377" s="46"/>
      <c r="F377" s="46"/>
      <c r="G377" s="46"/>
      <c r="H377" s="46"/>
      <c r="I377" s="46"/>
      <c r="J377" s="46"/>
      <c r="K377" s="46"/>
      <c r="L377" s="46"/>
      <c r="M377" s="46" t="str">
        <f aca="false">IF(OR(B377="",I377=""),"",IFERROR(INDEX('Comment flow'!$C$40:$C$46,MATCH(I377,'Comment flow'!$A$40:$A$46,0)),""))</f>
        <v/>
      </c>
      <c r="N377" s="46" t="str">
        <f aca="false">IF(B377="","",IF(OR(I377="",I377="Open: needs a decision",L377=""),"Open","Closed"))</f>
        <v/>
      </c>
      <c r="O377" s="46"/>
      <c r="P377" s="46" t="str">
        <f aca="false">IF(OR(B377="",I377&lt;&gt;"Save for a later revision"),"",IF(COUNTIF('Deferred edits'!$K$2:$K$201,A377)&gt;0,"Yes","● Add to Deferred edits"))</f>
        <v/>
      </c>
    </row>
    <row r="378" customFormat="false" ht="15" hidden="false" customHeight="false" outlineLevel="0" collapsed="false">
      <c r="A378" s="46" t="s">
        <v>673</v>
      </c>
      <c r="B378" s="46"/>
      <c r="C378" s="46"/>
      <c r="D378" s="46"/>
      <c r="E378" s="46"/>
      <c r="F378" s="46"/>
      <c r="G378" s="46"/>
      <c r="H378" s="46"/>
      <c r="I378" s="46"/>
      <c r="J378" s="46"/>
      <c r="K378" s="46"/>
      <c r="L378" s="46"/>
      <c r="M378" s="46" t="str">
        <f aca="false">IF(OR(B378="",I378=""),"",IFERROR(INDEX('Comment flow'!$C$40:$C$46,MATCH(I378,'Comment flow'!$A$40:$A$46,0)),""))</f>
        <v/>
      </c>
      <c r="N378" s="46" t="str">
        <f aca="false">IF(B378="","",IF(OR(I378="",I378="Open: needs a decision",L378=""),"Open","Closed"))</f>
        <v/>
      </c>
      <c r="O378" s="46"/>
      <c r="P378" s="46" t="str">
        <f aca="false">IF(OR(B378="",I378&lt;&gt;"Save for a later revision"),"",IF(COUNTIF('Deferred edits'!$K$2:$K$201,A378)&gt;0,"Yes","● Add to Deferred edits"))</f>
        <v/>
      </c>
    </row>
    <row r="379" customFormat="false" ht="15" hidden="false" customHeight="false" outlineLevel="0" collapsed="false">
      <c r="A379" s="46" t="s">
        <v>674</v>
      </c>
      <c r="B379" s="46"/>
      <c r="C379" s="46"/>
      <c r="D379" s="46"/>
      <c r="E379" s="46"/>
      <c r="F379" s="46"/>
      <c r="G379" s="46"/>
      <c r="H379" s="46"/>
      <c r="I379" s="46"/>
      <c r="J379" s="46"/>
      <c r="K379" s="46"/>
      <c r="L379" s="46"/>
      <c r="M379" s="46" t="str">
        <f aca="false">IF(OR(B379="",I379=""),"",IFERROR(INDEX('Comment flow'!$C$40:$C$46,MATCH(I379,'Comment flow'!$A$40:$A$46,0)),""))</f>
        <v/>
      </c>
      <c r="N379" s="46" t="str">
        <f aca="false">IF(B379="","",IF(OR(I379="",I379="Open: needs a decision",L379=""),"Open","Closed"))</f>
        <v/>
      </c>
      <c r="O379" s="46"/>
      <c r="P379" s="46" t="str">
        <f aca="false">IF(OR(B379="",I379&lt;&gt;"Save for a later revision"),"",IF(COUNTIF('Deferred edits'!$K$2:$K$201,A379)&gt;0,"Yes","● Add to Deferred edits"))</f>
        <v/>
      </c>
    </row>
    <row r="380" customFormat="false" ht="15" hidden="false" customHeight="false" outlineLevel="0" collapsed="false">
      <c r="A380" s="46" t="s">
        <v>675</v>
      </c>
      <c r="B380" s="46"/>
      <c r="C380" s="46"/>
      <c r="D380" s="46"/>
      <c r="E380" s="46"/>
      <c r="F380" s="46"/>
      <c r="G380" s="46"/>
      <c r="H380" s="46"/>
      <c r="I380" s="46"/>
      <c r="J380" s="46"/>
      <c r="K380" s="46"/>
      <c r="L380" s="46"/>
      <c r="M380" s="46" t="str">
        <f aca="false">IF(OR(B380="",I380=""),"",IFERROR(INDEX('Comment flow'!$C$40:$C$46,MATCH(I380,'Comment flow'!$A$40:$A$46,0)),""))</f>
        <v/>
      </c>
      <c r="N380" s="46" t="str">
        <f aca="false">IF(B380="","",IF(OR(I380="",I380="Open: needs a decision",L380=""),"Open","Closed"))</f>
        <v/>
      </c>
      <c r="O380" s="46"/>
      <c r="P380" s="46" t="str">
        <f aca="false">IF(OR(B380="",I380&lt;&gt;"Save for a later revision"),"",IF(COUNTIF('Deferred edits'!$K$2:$K$201,A380)&gt;0,"Yes","● Add to Deferred edits"))</f>
        <v/>
      </c>
    </row>
    <row r="381" customFormat="false" ht="15" hidden="false" customHeight="false" outlineLevel="0" collapsed="false">
      <c r="A381" s="46" t="s">
        <v>676</v>
      </c>
      <c r="B381" s="46"/>
      <c r="C381" s="46"/>
      <c r="D381" s="46"/>
      <c r="E381" s="46"/>
      <c r="F381" s="46"/>
      <c r="G381" s="46"/>
      <c r="H381" s="46"/>
      <c r="I381" s="46"/>
      <c r="J381" s="46"/>
      <c r="K381" s="46"/>
      <c r="L381" s="46"/>
      <c r="M381" s="46" t="str">
        <f aca="false">IF(OR(B381="",I381=""),"",IFERROR(INDEX('Comment flow'!$C$40:$C$46,MATCH(I381,'Comment flow'!$A$40:$A$46,0)),""))</f>
        <v/>
      </c>
      <c r="N381" s="46" t="str">
        <f aca="false">IF(B381="","",IF(OR(I381="",I381="Open: needs a decision",L381=""),"Open","Closed"))</f>
        <v/>
      </c>
      <c r="O381" s="46"/>
      <c r="P381" s="46" t="str">
        <f aca="false">IF(OR(B381="",I381&lt;&gt;"Save for a later revision"),"",IF(COUNTIF('Deferred edits'!$K$2:$K$201,A381)&gt;0,"Yes","● Add to Deferred edits"))</f>
        <v/>
      </c>
    </row>
    <row r="382" customFormat="false" ht="15" hidden="false" customHeight="false" outlineLevel="0" collapsed="false">
      <c r="A382" s="46" t="s">
        <v>677</v>
      </c>
      <c r="B382" s="46"/>
      <c r="C382" s="46"/>
      <c r="D382" s="46"/>
      <c r="E382" s="46"/>
      <c r="F382" s="46"/>
      <c r="G382" s="46"/>
      <c r="H382" s="46"/>
      <c r="I382" s="46"/>
      <c r="J382" s="46"/>
      <c r="K382" s="46"/>
      <c r="L382" s="46"/>
      <c r="M382" s="46" t="str">
        <f aca="false">IF(OR(B382="",I382=""),"",IFERROR(INDEX('Comment flow'!$C$40:$C$46,MATCH(I382,'Comment flow'!$A$40:$A$46,0)),""))</f>
        <v/>
      </c>
      <c r="N382" s="46" t="str">
        <f aca="false">IF(B382="","",IF(OR(I382="",I382="Open: needs a decision",L382=""),"Open","Closed"))</f>
        <v/>
      </c>
      <c r="O382" s="46"/>
      <c r="P382" s="46" t="str">
        <f aca="false">IF(OR(B382="",I382&lt;&gt;"Save for a later revision"),"",IF(COUNTIF('Deferred edits'!$K$2:$K$201,A382)&gt;0,"Yes","● Add to Deferred edits"))</f>
        <v/>
      </c>
    </row>
    <row r="383" customFormat="false" ht="15" hidden="false" customHeight="false" outlineLevel="0" collapsed="false">
      <c r="A383" s="46" t="s">
        <v>678</v>
      </c>
      <c r="B383" s="46"/>
      <c r="C383" s="46"/>
      <c r="D383" s="46"/>
      <c r="E383" s="46"/>
      <c r="F383" s="46"/>
      <c r="G383" s="46"/>
      <c r="H383" s="46"/>
      <c r="I383" s="46"/>
      <c r="J383" s="46"/>
      <c r="K383" s="46"/>
      <c r="L383" s="46"/>
      <c r="M383" s="46" t="str">
        <f aca="false">IF(OR(B383="",I383=""),"",IFERROR(INDEX('Comment flow'!$C$40:$C$46,MATCH(I383,'Comment flow'!$A$40:$A$46,0)),""))</f>
        <v/>
      </c>
      <c r="N383" s="46" t="str">
        <f aca="false">IF(B383="","",IF(OR(I383="",I383="Open: needs a decision",L383=""),"Open","Closed"))</f>
        <v/>
      </c>
      <c r="O383" s="46"/>
      <c r="P383" s="46" t="str">
        <f aca="false">IF(OR(B383="",I383&lt;&gt;"Save for a later revision"),"",IF(COUNTIF('Deferred edits'!$K$2:$K$201,A383)&gt;0,"Yes","● Add to Deferred edits"))</f>
        <v/>
      </c>
    </row>
    <row r="384" customFormat="false" ht="15" hidden="false" customHeight="false" outlineLevel="0" collapsed="false">
      <c r="A384" s="46" t="s">
        <v>679</v>
      </c>
      <c r="B384" s="46"/>
      <c r="C384" s="46"/>
      <c r="D384" s="46"/>
      <c r="E384" s="46"/>
      <c r="F384" s="46"/>
      <c r="G384" s="46"/>
      <c r="H384" s="46"/>
      <c r="I384" s="46"/>
      <c r="J384" s="46"/>
      <c r="K384" s="46"/>
      <c r="L384" s="46"/>
      <c r="M384" s="46" t="str">
        <f aca="false">IF(OR(B384="",I384=""),"",IFERROR(INDEX('Comment flow'!$C$40:$C$46,MATCH(I384,'Comment flow'!$A$40:$A$46,0)),""))</f>
        <v/>
      </c>
      <c r="N384" s="46" t="str">
        <f aca="false">IF(B384="","",IF(OR(I384="",I384="Open: needs a decision",L384=""),"Open","Closed"))</f>
        <v/>
      </c>
      <c r="O384" s="46"/>
      <c r="P384" s="46" t="str">
        <f aca="false">IF(OR(B384="",I384&lt;&gt;"Save for a later revision"),"",IF(COUNTIF('Deferred edits'!$K$2:$K$201,A384)&gt;0,"Yes","● Add to Deferred edits"))</f>
        <v/>
      </c>
    </row>
    <row r="385" customFormat="false" ht="15" hidden="false" customHeight="false" outlineLevel="0" collapsed="false">
      <c r="A385" s="46" t="s">
        <v>680</v>
      </c>
      <c r="B385" s="46"/>
      <c r="C385" s="46"/>
      <c r="D385" s="46"/>
      <c r="E385" s="46"/>
      <c r="F385" s="46"/>
      <c r="G385" s="46"/>
      <c r="H385" s="46"/>
      <c r="I385" s="46"/>
      <c r="J385" s="46"/>
      <c r="K385" s="46"/>
      <c r="L385" s="46"/>
      <c r="M385" s="46" t="str">
        <f aca="false">IF(OR(B385="",I385=""),"",IFERROR(INDEX('Comment flow'!$C$40:$C$46,MATCH(I385,'Comment flow'!$A$40:$A$46,0)),""))</f>
        <v/>
      </c>
      <c r="N385" s="46" t="str">
        <f aca="false">IF(B385="","",IF(OR(I385="",I385="Open: needs a decision",L385=""),"Open","Closed"))</f>
        <v/>
      </c>
      <c r="O385" s="46"/>
      <c r="P385" s="46" t="str">
        <f aca="false">IF(OR(B385="",I385&lt;&gt;"Save for a later revision"),"",IF(COUNTIF('Deferred edits'!$K$2:$K$201,A385)&gt;0,"Yes","● Add to Deferred edits"))</f>
        <v/>
      </c>
    </row>
    <row r="386" customFormat="false" ht="15" hidden="false" customHeight="false" outlineLevel="0" collapsed="false">
      <c r="A386" s="46" t="s">
        <v>681</v>
      </c>
      <c r="B386" s="46"/>
      <c r="C386" s="46"/>
      <c r="D386" s="46"/>
      <c r="E386" s="46"/>
      <c r="F386" s="46"/>
      <c r="G386" s="46"/>
      <c r="H386" s="46"/>
      <c r="I386" s="46"/>
      <c r="J386" s="46"/>
      <c r="K386" s="46"/>
      <c r="L386" s="46"/>
      <c r="M386" s="46" t="str">
        <f aca="false">IF(OR(B386="",I386=""),"",IFERROR(INDEX('Comment flow'!$C$40:$C$46,MATCH(I386,'Comment flow'!$A$40:$A$46,0)),""))</f>
        <v/>
      </c>
      <c r="N386" s="46" t="str">
        <f aca="false">IF(B386="","",IF(OR(I386="",I386="Open: needs a decision",L386=""),"Open","Closed"))</f>
        <v/>
      </c>
      <c r="O386" s="46"/>
      <c r="P386" s="46" t="str">
        <f aca="false">IF(OR(B386="",I386&lt;&gt;"Save for a later revision"),"",IF(COUNTIF('Deferred edits'!$K$2:$K$201,A386)&gt;0,"Yes","● Add to Deferred edits"))</f>
        <v/>
      </c>
    </row>
    <row r="387" customFormat="false" ht="15" hidden="false" customHeight="false" outlineLevel="0" collapsed="false">
      <c r="A387" s="46" t="s">
        <v>682</v>
      </c>
      <c r="B387" s="46"/>
      <c r="C387" s="46"/>
      <c r="D387" s="46"/>
      <c r="E387" s="46"/>
      <c r="F387" s="46"/>
      <c r="G387" s="46"/>
      <c r="H387" s="46"/>
      <c r="I387" s="46"/>
      <c r="J387" s="46"/>
      <c r="K387" s="46"/>
      <c r="L387" s="46"/>
      <c r="M387" s="46" t="str">
        <f aca="false">IF(OR(B387="",I387=""),"",IFERROR(INDEX('Comment flow'!$C$40:$C$46,MATCH(I387,'Comment flow'!$A$40:$A$46,0)),""))</f>
        <v/>
      </c>
      <c r="N387" s="46" t="str">
        <f aca="false">IF(B387="","",IF(OR(I387="",I387="Open: needs a decision",L387=""),"Open","Closed"))</f>
        <v/>
      </c>
      <c r="O387" s="46"/>
      <c r="P387" s="46" t="str">
        <f aca="false">IF(OR(B387="",I387&lt;&gt;"Save for a later revision"),"",IF(COUNTIF('Deferred edits'!$K$2:$K$201,A387)&gt;0,"Yes","● Add to Deferred edits"))</f>
        <v/>
      </c>
    </row>
    <row r="388" customFormat="false" ht="15" hidden="false" customHeight="false" outlineLevel="0" collapsed="false">
      <c r="A388" s="46" t="s">
        <v>683</v>
      </c>
      <c r="B388" s="46"/>
      <c r="C388" s="46"/>
      <c r="D388" s="46"/>
      <c r="E388" s="46"/>
      <c r="F388" s="46"/>
      <c r="G388" s="46"/>
      <c r="H388" s="46"/>
      <c r="I388" s="46"/>
      <c r="J388" s="46"/>
      <c r="K388" s="46"/>
      <c r="L388" s="46"/>
      <c r="M388" s="46" t="str">
        <f aca="false">IF(OR(B388="",I388=""),"",IFERROR(INDEX('Comment flow'!$C$40:$C$46,MATCH(I388,'Comment flow'!$A$40:$A$46,0)),""))</f>
        <v/>
      </c>
      <c r="N388" s="46" t="str">
        <f aca="false">IF(B388="","",IF(OR(I388="",I388="Open: needs a decision",L388=""),"Open","Closed"))</f>
        <v/>
      </c>
      <c r="O388" s="46"/>
      <c r="P388" s="46" t="str">
        <f aca="false">IF(OR(B388="",I388&lt;&gt;"Save for a later revision"),"",IF(COUNTIF('Deferred edits'!$K$2:$K$201,A388)&gt;0,"Yes","● Add to Deferred edits"))</f>
        <v/>
      </c>
    </row>
    <row r="389" customFormat="false" ht="15" hidden="false" customHeight="false" outlineLevel="0" collapsed="false">
      <c r="A389" s="46" t="s">
        <v>684</v>
      </c>
      <c r="B389" s="46"/>
      <c r="C389" s="46"/>
      <c r="D389" s="46"/>
      <c r="E389" s="46"/>
      <c r="F389" s="46"/>
      <c r="G389" s="46"/>
      <c r="H389" s="46"/>
      <c r="I389" s="46"/>
      <c r="J389" s="46"/>
      <c r="K389" s="46"/>
      <c r="L389" s="46"/>
      <c r="M389" s="46" t="str">
        <f aca="false">IF(OR(B389="",I389=""),"",IFERROR(INDEX('Comment flow'!$C$40:$C$46,MATCH(I389,'Comment flow'!$A$40:$A$46,0)),""))</f>
        <v/>
      </c>
      <c r="N389" s="46" t="str">
        <f aca="false">IF(B389="","",IF(OR(I389="",I389="Open: needs a decision",L389=""),"Open","Closed"))</f>
        <v/>
      </c>
      <c r="O389" s="46"/>
      <c r="P389" s="46" t="str">
        <f aca="false">IF(OR(B389="",I389&lt;&gt;"Save for a later revision"),"",IF(COUNTIF('Deferred edits'!$K$2:$K$201,A389)&gt;0,"Yes","● Add to Deferred edits"))</f>
        <v/>
      </c>
    </row>
    <row r="390" customFormat="false" ht="15" hidden="false" customHeight="false" outlineLevel="0" collapsed="false">
      <c r="A390" s="46" t="s">
        <v>685</v>
      </c>
      <c r="B390" s="46"/>
      <c r="C390" s="46"/>
      <c r="D390" s="46"/>
      <c r="E390" s="46"/>
      <c r="F390" s="46"/>
      <c r="G390" s="46"/>
      <c r="H390" s="46"/>
      <c r="I390" s="46"/>
      <c r="J390" s="46"/>
      <c r="K390" s="46"/>
      <c r="L390" s="46"/>
      <c r="M390" s="46" t="str">
        <f aca="false">IF(OR(B390="",I390=""),"",IFERROR(INDEX('Comment flow'!$C$40:$C$46,MATCH(I390,'Comment flow'!$A$40:$A$46,0)),""))</f>
        <v/>
      </c>
      <c r="N390" s="46" t="str">
        <f aca="false">IF(B390="","",IF(OR(I390="",I390="Open: needs a decision",L390=""),"Open","Closed"))</f>
        <v/>
      </c>
      <c r="O390" s="46"/>
      <c r="P390" s="46" t="str">
        <f aca="false">IF(OR(B390="",I390&lt;&gt;"Save for a later revision"),"",IF(COUNTIF('Deferred edits'!$K$2:$K$201,A390)&gt;0,"Yes","● Add to Deferred edits"))</f>
        <v/>
      </c>
    </row>
    <row r="391" customFormat="false" ht="15" hidden="false" customHeight="false" outlineLevel="0" collapsed="false">
      <c r="A391" s="46" t="s">
        <v>686</v>
      </c>
      <c r="B391" s="46"/>
      <c r="C391" s="46"/>
      <c r="D391" s="46"/>
      <c r="E391" s="46"/>
      <c r="F391" s="46"/>
      <c r="G391" s="46"/>
      <c r="H391" s="46"/>
      <c r="I391" s="46"/>
      <c r="J391" s="46"/>
      <c r="K391" s="46"/>
      <c r="L391" s="46"/>
      <c r="M391" s="46" t="str">
        <f aca="false">IF(OR(B391="",I391=""),"",IFERROR(INDEX('Comment flow'!$C$40:$C$46,MATCH(I391,'Comment flow'!$A$40:$A$46,0)),""))</f>
        <v/>
      </c>
      <c r="N391" s="46" t="str">
        <f aca="false">IF(B391="","",IF(OR(I391="",I391="Open: needs a decision",L391=""),"Open","Closed"))</f>
        <v/>
      </c>
      <c r="O391" s="46"/>
      <c r="P391" s="46" t="str">
        <f aca="false">IF(OR(B391="",I391&lt;&gt;"Save for a later revision"),"",IF(COUNTIF('Deferred edits'!$K$2:$K$201,A391)&gt;0,"Yes","● Add to Deferred edits"))</f>
        <v/>
      </c>
    </row>
    <row r="392" customFormat="false" ht="15" hidden="false" customHeight="false" outlineLevel="0" collapsed="false">
      <c r="A392" s="46" t="s">
        <v>687</v>
      </c>
      <c r="B392" s="46"/>
      <c r="C392" s="46"/>
      <c r="D392" s="46"/>
      <c r="E392" s="46"/>
      <c r="F392" s="46"/>
      <c r="G392" s="46"/>
      <c r="H392" s="46"/>
      <c r="I392" s="46"/>
      <c r="J392" s="46"/>
      <c r="K392" s="46"/>
      <c r="L392" s="46"/>
      <c r="M392" s="46" t="str">
        <f aca="false">IF(OR(B392="",I392=""),"",IFERROR(INDEX('Comment flow'!$C$40:$C$46,MATCH(I392,'Comment flow'!$A$40:$A$46,0)),""))</f>
        <v/>
      </c>
      <c r="N392" s="46" t="str">
        <f aca="false">IF(B392="","",IF(OR(I392="",I392="Open: needs a decision",L392=""),"Open","Closed"))</f>
        <v/>
      </c>
      <c r="O392" s="46"/>
      <c r="P392" s="46" t="str">
        <f aca="false">IF(OR(B392="",I392&lt;&gt;"Save for a later revision"),"",IF(COUNTIF('Deferred edits'!$K$2:$K$201,A392)&gt;0,"Yes","● Add to Deferred edits"))</f>
        <v/>
      </c>
    </row>
    <row r="393" customFormat="false" ht="15" hidden="false" customHeight="false" outlineLevel="0" collapsed="false">
      <c r="A393" s="46" t="s">
        <v>688</v>
      </c>
      <c r="B393" s="46"/>
      <c r="C393" s="46"/>
      <c r="D393" s="46"/>
      <c r="E393" s="46"/>
      <c r="F393" s="46"/>
      <c r="G393" s="46"/>
      <c r="H393" s="46"/>
      <c r="I393" s="46"/>
      <c r="J393" s="46"/>
      <c r="K393" s="46"/>
      <c r="L393" s="46"/>
      <c r="M393" s="46" t="str">
        <f aca="false">IF(OR(B393="",I393=""),"",IFERROR(INDEX('Comment flow'!$C$40:$C$46,MATCH(I393,'Comment flow'!$A$40:$A$46,0)),""))</f>
        <v/>
      </c>
      <c r="N393" s="46" t="str">
        <f aca="false">IF(B393="","",IF(OR(I393="",I393="Open: needs a decision",L393=""),"Open","Closed"))</f>
        <v/>
      </c>
      <c r="O393" s="46"/>
      <c r="P393" s="46" t="str">
        <f aca="false">IF(OR(B393="",I393&lt;&gt;"Save for a later revision"),"",IF(COUNTIF('Deferred edits'!$K$2:$K$201,A393)&gt;0,"Yes","● Add to Deferred edits"))</f>
        <v/>
      </c>
    </row>
    <row r="394" customFormat="false" ht="15" hidden="false" customHeight="false" outlineLevel="0" collapsed="false">
      <c r="A394" s="46" t="s">
        <v>689</v>
      </c>
      <c r="B394" s="46"/>
      <c r="C394" s="46"/>
      <c r="D394" s="46"/>
      <c r="E394" s="46"/>
      <c r="F394" s="46"/>
      <c r="G394" s="46"/>
      <c r="H394" s="46"/>
      <c r="I394" s="46"/>
      <c r="J394" s="46"/>
      <c r="K394" s="46"/>
      <c r="L394" s="46"/>
      <c r="M394" s="46" t="str">
        <f aca="false">IF(OR(B394="",I394=""),"",IFERROR(INDEX('Comment flow'!$C$40:$C$46,MATCH(I394,'Comment flow'!$A$40:$A$46,0)),""))</f>
        <v/>
      </c>
      <c r="N394" s="46" t="str">
        <f aca="false">IF(B394="","",IF(OR(I394="",I394="Open: needs a decision",L394=""),"Open","Closed"))</f>
        <v/>
      </c>
      <c r="O394" s="46"/>
      <c r="P394" s="46" t="str">
        <f aca="false">IF(OR(B394="",I394&lt;&gt;"Save for a later revision"),"",IF(COUNTIF('Deferred edits'!$K$2:$K$201,A394)&gt;0,"Yes","● Add to Deferred edits"))</f>
        <v/>
      </c>
    </row>
    <row r="395" customFormat="false" ht="15" hidden="false" customHeight="false" outlineLevel="0" collapsed="false">
      <c r="A395" s="46" t="s">
        <v>690</v>
      </c>
      <c r="B395" s="46"/>
      <c r="C395" s="46"/>
      <c r="D395" s="46"/>
      <c r="E395" s="46"/>
      <c r="F395" s="46"/>
      <c r="G395" s="46"/>
      <c r="H395" s="46"/>
      <c r="I395" s="46"/>
      <c r="J395" s="46"/>
      <c r="K395" s="46"/>
      <c r="L395" s="46"/>
      <c r="M395" s="46" t="str">
        <f aca="false">IF(OR(B395="",I395=""),"",IFERROR(INDEX('Comment flow'!$C$40:$C$46,MATCH(I395,'Comment flow'!$A$40:$A$46,0)),""))</f>
        <v/>
      </c>
      <c r="N395" s="46" t="str">
        <f aca="false">IF(B395="","",IF(OR(I395="",I395="Open: needs a decision",L395=""),"Open","Closed"))</f>
        <v/>
      </c>
      <c r="O395" s="46"/>
      <c r="P395" s="46" t="str">
        <f aca="false">IF(OR(B395="",I395&lt;&gt;"Save for a later revision"),"",IF(COUNTIF('Deferred edits'!$K$2:$K$201,A395)&gt;0,"Yes","● Add to Deferred edits"))</f>
        <v/>
      </c>
    </row>
    <row r="396" customFormat="false" ht="15" hidden="false" customHeight="false" outlineLevel="0" collapsed="false">
      <c r="A396" s="46" t="s">
        <v>691</v>
      </c>
      <c r="B396" s="46"/>
      <c r="C396" s="46"/>
      <c r="D396" s="46"/>
      <c r="E396" s="46"/>
      <c r="F396" s="46"/>
      <c r="G396" s="46"/>
      <c r="H396" s="46"/>
      <c r="I396" s="46"/>
      <c r="J396" s="46"/>
      <c r="K396" s="46"/>
      <c r="L396" s="46"/>
      <c r="M396" s="46" t="str">
        <f aca="false">IF(OR(B396="",I396=""),"",IFERROR(INDEX('Comment flow'!$C$40:$C$46,MATCH(I396,'Comment flow'!$A$40:$A$46,0)),""))</f>
        <v/>
      </c>
      <c r="N396" s="46" t="str">
        <f aca="false">IF(B396="","",IF(OR(I396="",I396="Open: needs a decision",L396=""),"Open","Closed"))</f>
        <v/>
      </c>
      <c r="O396" s="46"/>
      <c r="P396" s="46" t="str">
        <f aca="false">IF(OR(B396="",I396&lt;&gt;"Save for a later revision"),"",IF(COUNTIF('Deferred edits'!$K$2:$K$201,A396)&gt;0,"Yes","● Add to Deferred edits"))</f>
        <v/>
      </c>
    </row>
    <row r="397" customFormat="false" ht="15" hidden="false" customHeight="false" outlineLevel="0" collapsed="false">
      <c r="A397" s="46" t="s">
        <v>692</v>
      </c>
      <c r="B397" s="46"/>
      <c r="C397" s="46"/>
      <c r="D397" s="46"/>
      <c r="E397" s="46"/>
      <c r="F397" s="46"/>
      <c r="G397" s="46"/>
      <c r="H397" s="46"/>
      <c r="I397" s="46"/>
      <c r="J397" s="46"/>
      <c r="K397" s="46"/>
      <c r="L397" s="46"/>
      <c r="M397" s="46" t="str">
        <f aca="false">IF(OR(B397="",I397=""),"",IFERROR(INDEX('Comment flow'!$C$40:$C$46,MATCH(I397,'Comment flow'!$A$40:$A$46,0)),""))</f>
        <v/>
      </c>
      <c r="N397" s="46" t="str">
        <f aca="false">IF(B397="","",IF(OR(I397="",I397="Open: needs a decision",L397=""),"Open","Closed"))</f>
        <v/>
      </c>
      <c r="O397" s="46"/>
      <c r="P397" s="46" t="str">
        <f aca="false">IF(OR(B397="",I397&lt;&gt;"Save for a later revision"),"",IF(COUNTIF('Deferred edits'!$K$2:$K$201,A397)&gt;0,"Yes","● Add to Deferred edits"))</f>
        <v/>
      </c>
    </row>
    <row r="398" customFormat="false" ht="15" hidden="false" customHeight="false" outlineLevel="0" collapsed="false">
      <c r="A398" s="46" t="s">
        <v>693</v>
      </c>
      <c r="B398" s="46"/>
      <c r="C398" s="46"/>
      <c r="D398" s="46"/>
      <c r="E398" s="46"/>
      <c r="F398" s="46"/>
      <c r="G398" s="46"/>
      <c r="H398" s="46"/>
      <c r="I398" s="46"/>
      <c r="J398" s="46"/>
      <c r="K398" s="46"/>
      <c r="L398" s="46"/>
      <c r="M398" s="46" t="str">
        <f aca="false">IF(OR(B398="",I398=""),"",IFERROR(INDEX('Comment flow'!$C$40:$C$46,MATCH(I398,'Comment flow'!$A$40:$A$46,0)),""))</f>
        <v/>
      </c>
      <c r="N398" s="46" t="str">
        <f aca="false">IF(B398="","",IF(OR(I398="",I398="Open: needs a decision",L398=""),"Open","Closed"))</f>
        <v/>
      </c>
      <c r="O398" s="46"/>
      <c r="P398" s="46" t="str">
        <f aca="false">IF(OR(B398="",I398&lt;&gt;"Save for a later revision"),"",IF(COUNTIF('Deferred edits'!$K$2:$K$201,A398)&gt;0,"Yes","● Add to Deferred edits"))</f>
        <v/>
      </c>
    </row>
    <row r="399" customFormat="false" ht="15" hidden="false" customHeight="false" outlineLevel="0" collapsed="false">
      <c r="A399" s="46" t="s">
        <v>694</v>
      </c>
      <c r="B399" s="46"/>
      <c r="C399" s="46"/>
      <c r="D399" s="46"/>
      <c r="E399" s="46"/>
      <c r="F399" s="46"/>
      <c r="G399" s="46"/>
      <c r="H399" s="46"/>
      <c r="I399" s="46"/>
      <c r="J399" s="46"/>
      <c r="K399" s="46"/>
      <c r="L399" s="46"/>
      <c r="M399" s="46" t="str">
        <f aca="false">IF(OR(B399="",I399=""),"",IFERROR(INDEX('Comment flow'!$C$40:$C$46,MATCH(I399,'Comment flow'!$A$40:$A$46,0)),""))</f>
        <v/>
      </c>
      <c r="N399" s="46" t="str">
        <f aca="false">IF(B399="","",IF(OR(I399="",I399="Open: needs a decision",L399=""),"Open","Closed"))</f>
        <v/>
      </c>
      <c r="O399" s="46"/>
      <c r="P399" s="46" t="str">
        <f aca="false">IF(OR(B399="",I399&lt;&gt;"Save for a later revision"),"",IF(COUNTIF('Deferred edits'!$K$2:$K$201,A399)&gt;0,"Yes","● Add to Deferred edits"))</f>
        <v/>
      </c>
    </row>
    <row r="400" customFormat="false" ht="15" hidden="false" customHeight="false" outlineLevel="0" collapsed="false">
      <c r="A400" s="46" t="s">
        <v>695</v>
      </c>
      <c r="B400" s="46"/>
      <c r="C400" s="46"/>
      <c r="D400" s="46"/>
      <c r="E400" s="46"/>
      <c r="F400" s="46"/>
      <c r="G400" s="46"/>
      <c r="H400" s="46"/>
      <c r="I400" s="46"/>
      <c r="J400" s="46"/>
      <c r="K400" s="46"/>
      <c r="L400" s="46"/>
      <c r="M400" s="46" t="str">
        <f aca="false">IF(OR(B400="",I400=""),"",IFERROR(INDEX('Comment flow'!$C$40:$C$46,MATCH(I400,'Comment flow'!$A$40:$A$46,0)),""))</f>
        <v/>
      </c>
      <c r="N400" s="46" t="str">
        <f aca="false">IF(B400="","",IF(OR(I400="",I400="Open: needs a decision",L400=""),"Open","Closed"))</f>
        <v/>
      </c>
      <c r="O400" s="46"/>
      <c r="P400" s="46" t="str">
        <f aca="false">IF(OR(B400="",I400&lt;&gt;"Save for a later revision"),"",IF(COUNTIF('Deferred edits'!$K$2:$K$201,A400)&gt;0,"Yes","● Add to Deferred edits"))</f>
        <v/>
      </c>
    </row>
    <row r="401" customFormat="false" ht="15" hidden="false" customHeight="false" outlineLevel="0" collapsed="false">
      <c r="A401" s="46" t="s">
        <v>696</v>
      </c>
      <c r="B401" s="46"/>
      <c r="C401" s="46"/>
      <c r="D401" s="46"/>
      <c r="E401" s="46"/>
      <c r="F401" s="46"/>
      <c r="G401" s="46"/>
      <c r="H401" s="46"/>
      <c r="I401" s="46"/>
      <c r="J401" s="46"/>
      <c r="K401" s="46"/>
      <c r="L401" s="46"/>
      <c r="M401" s="46" t="str">
        <f aca="false">IF(OR(B401="",I401=""),"",IFERROR(INDEX('Comment flow'!$C$40:$C$46,MATCH(I401,'Comment flow'!$A$40:$A$46,0)),""))</f>
        <v/>
      </c>
      <c r="N401" s="46" t="str">
        <f aca="false">IF(B401="","",IF(OR(I401="",I401="Open: needs a decision",L401=""),"Open","Closed"))</f>
        <v/>
      </c>
      <c r="O401" s="46"/>
      <c r="P401" s="46" t="str">
        <f aca="false">IF(OR(B401="",I401&lt;&gt;"Save for a later revision"),"",IF(COUNTIF('Deferred edits'!$K$2:$K$201,A401)&gt;0,"Yes","● Add to Deferred edits"))</f>
        <v/>
      </c>
    </row>
    <row r="402" customFormat="false" ht="15" hidden="false" customHeight="false" outlineLevel="0" collapsed="false">
      <c r="A402" s="46" t="s">
        <v>697</v>
      </c>
      <c r="B402" s="46"/>
      <c r="C402" s="46"/>
      <c r="D402" s="46"/>
      <c r="E402" s="46"/>
      <c r="F402" s="46"/>
      <c r="G402" s="46"/>
      <c r="H402" s="46"/>
      <c r="I402" s="46"/>
      <c r="J402" s="46"/>
      <c r="K402" s="46"/>
      <c r="L402" s="46"/>
      <c r="M402" s="46" t="str">
        <f aca="false">IF(OR(B402="",I402=""),"",IFERROR(INDEX('Comment flow'!$C$40:$C$46,MATCH(I402,'Comment flow'!$A$40:$A$46,0)),""))</f>
        <v/>
      </c>
      <c r="N402" s="46" t="str">
        <f aca="false">IF(B402="","",IF(OR(I402="",I402="Open: needs a decision",L402=""),"Open","Closed"))</f>
        <v/>
      </c>
      <c r="O402" s="46"/>
      <c r="P402" s="46" t="str">
        <f aca="false">IF(OR(B402="",I402&lt;&gt;"Save for a later revision"),"",IF(COUNTIF('Deferred edits'!$K$2:$K$201,A402)&gt;0,"Yes","● Add to Deferred edits"))</f>
        <v/>
      </c>
    </row>
    <row r="403" customFormat="false" ht="15" hidden="false" customHeight="false" outlineLevel="0" collapsed="false">
      <c r="A403" s="46" t="s">
        <v>698</v>
      </c>
      <c r="B403" s="46"/>
      <c r="C403" s="46"/>
      <c r="D403" s="46"/>
      <c r="E403" s="46"/>
      <c r="F403" s="46"/>
      <c r="G403" s="46"/>
      <c r="H403" s="46"/>
      <c r="I403" s="46"/>
      <c r="J403" s="46"/>
      <c r="K403" s="46"/>
      <c r="L403" s="46"/>
      <c r="M403" s="46" t="str">
        <f aca="false">IF(OR(B403="",I403=""),"",IFERROR(INDEX('Comment flow'!$C$40:$C$46,MATCH(I403,'Comment flow'!$A$40:$A$46,0)),""))</f>
        <v/>
      </c>
      <c r="N403" s="46" t="str">
        <f aca="false">IF(B403="","",IF(OR(I403="",I403="Open: needs a decision",L403=""),"Open","Closed"))</f>
        <v/>
      </c>
      <c r="O403" s="46"/>
      <c r="P403" s="46" t="str">
        <f aca="false">IF(OR(B403="",I403&lt;&gt;"Save for a later revision"),"",IF(COUNTIF('Deferred edits'!$K$2:$K$201,A403)&gt;0,"Yes","● Add to Deferred edits"))</f>
        <v/>
      </c>
    </row>
    <row r="404" customFormat="false" ht="15" hidden="false" customHeight="false" outlineLevel="0" collapsed="false">
      <c r="A404" s="46" t="s">
        <v>699</v>
      </c>
      <c r="B404" s="46"/>
      <c r="C404" s="46"/>
      <c r="D404" s="46"/>
      <c r="E404" s="46"/>
      <c r="F404" s="46"/>
      <c r="G404" s="46"/>
      <c r="H404" s="46"/>
      <c r="I404" s="46"/>
      <c r="J404" s="46"/>
      <c r="K404" s="46"/>
      <c r="L404" s="46"/>
      <c r="M404" s="46" t="str">
        <f aca="false">IF(OR(B404="",I404=""),"",IFERROR(INDEX('Comment flow'!$C$40:$C$46,MATCH(I404,'Comment flow'!$A$40:$A$46,0)),""))</f>
        <v/>
      </c>
      <c r="N404" s="46" t="str">
        <f aca="false">IF(B404="","",IF(OR(I404="",I404="Open: needs a decision",L404=""),"Open","Closed"))</f>
        <v/>
      </c>
      <c r="O404" s="46"/>
      <c r="P404" s="46" t="str">
        <f aca="false">IF(OR(B404="",I404&lt;&gt;"Save for a later revision"),"",IF(COUNTIF('Deferred edits'!$K$2:$K$201,A404)&gt;0,"Yes","● Add to Deferred edits"))</f>
        <v/>
      </c>
    </row>
    <row r="405" customFormat="false" ht="15" hidden="false" customHeight="false" outlineLevel="0" collapsed="false">
      <c r="A405" s="46" t="s">
        <v>700</v>
      </c>
      <c r="B405" s="46"/>
      <c r="C405" s="46"/>
      <c r="D405" s="46"/>
      <c r="E405" s="46"/>
      <c r="F405" s="46"/>
      <c r="G405" s="46"/>
      <c r="H405" s="46"/>
      <c r="I405" s="46"/>
      <c r="J405" s="46"/>
      <c r="K405" s="46"/>
      <c r="L405" s="46"/>
      <c r="M405" s="46" t="str">
        <f aca="false">IF(OR(B405="",I405=""),"",IFERROR(INDEX('Comment flow'!$C$40:$C$46,MATCH(I405,'Comment flow'!$A$40:$A$46,0)),""))</f>
        <v/>
      </c>
      <c r="N405" s="46" t="str">
        <f aca="false">IF(B405="","",IF(OR(I405="",I405="Open: needs a decision",L405=""),"Open","Closed"))</f>
        <v/>
      </c>
      <c r="O405" s="46"/>
      <c r="P405" s="46" t="str">
        <f aca="false">IF(OR(B405="",I405&lt;&gt;"Save for a later revision"),"",IF(COUNTIF('Deferred edits'!$K$2:$K$201,A405)&gt;0,"Yes","● Add to Deferred edits"))</f>
        <v/>
      </c>
    </row>
    <row r="406" customFormat="false" ht="15" hidden="false" customHeight="false" outlineLevel="0" collapsed="false">
      <c r="A406" s="46" t="s">
        <v>701</v>
      </c>
      <c r="B406" s="46"/>
      <c r="C406" s="46"/>
      <c r="D406" s="46"/>
      <c r="E406" s="46"/>
      <c r="F406" s="46"/>
      <c r="G406" s="46"/>
      <c r="H406" s="46"/>
      <c r="I406" s="46"/>
      <c r="J406" s="46"/>
      <c r="K406" s="46"/>
      <c r="L406" s="46"/>
      <c r="M406" s="46" t="str">
        <f aca="false">IF(OR(B406="",I406=""),"",IFERROR(INDEX('Comment flow'!$C$40:$C$46,MATCH(I406,'Comment flow'!$A$40:$A$46,0)),""))</f>
        <v/>
      </c>
      <c r="N406" s="46" t="str">
        <f aca="false">IF(B406="","",IF(OR(I406="",I406="Open: needs a decision",L406=""),"Open","Closed"))</f>
        <v/>
      </c>
      <c r="O406" s="46"/>
      <c r="P406" s="46" t="str">
        <f aca="false">IF(OR(B406="",I406&lt;&gt;"Save for a later revision"),"",IF(COUNTIF('Deferred edits'!$K$2:$K$201,A406)&gt;0,"Yes","● Add to Deferred edits"))</f>
        <v/>
      </c>
    </row>
    <row r="407" customFormat="false" ht="15" hidden="false" customHeight="false" outlineLevel="0" collapsed="false">
      <c r="A407" s="46" t="s">
        <v>702</v>
      </c>
      <c r="B407" s="46"/>
      <c r="C407" s="46"/>
      <c r="D407" s="46"/>
      <c r="E407" s="46"/>
      <c r="F407" s="46"/>
      <c r="G407" s="46"/>
      <c r="H407" s="46"/>
      <c r="I407" s="46"/>
      <c r="J407" s="46"/>
      <c r="K407" s="46"/>
      <c r="L407" s="46"/>
      <c r="M407" s="46" t="str">
        <f aca="false">IF(OR(B407="",I407=""),"",IFERROR(INDEX('Comment flow'!$C$40:$C$46,MATCH(I407,'Comment flow'!$A$40:$A$46,0)),""))</f>
        <v/>
      </c>
      <c r="N407" s="46" t="str">
        <f aca="false">IF(B407="","",IF(OR(I407="",I407="Open: needs a decision",L407=""),"Open","Closed"))</f>
        <v/>
      </c>
      <c r="O407" s="46"/>
      <c r="P407" s="46" t="str">
        <f aca="false">IF(OR(B407="",I407&lt;&gt;"Save for a later revision"),"",IF(COUNTIF('Deferred edits'!$K$2:$K$201,A407)&gt;0,"Yes","● Add to Deferred edits"))</f>
        <v/>
      </c>
    </row>
    <row r="408" customFormat="false" ht="15" hidden="false" customHeight="false" outlineLevel="0" collapsed="false">
      <c r="A408" s="46" t="s">
        <v>703</v>
      </c>
      <c r="B408" s="46"/>
      <c r="C408" s="46"/>
      <c r="D408" s="46"/>
      <c r="E408" s="46"/>
      <c r="F408" s="46"/>
      <c r="G408" s="46"/>
      <c r="H408" s="46"/>
      <c r="I408" s="46"/>
      <c r="J408" s="46"/>
      <c r="K408" s="46"/>
      <c r="L408" s="46"/>
      <c r="M408" s="46" t="str">
        <f aca="false">IF(OR(B408="",I408=""),"",IFERROR(INDEX('Comment flow'!$C$40:$C$46,MATCH(I408,'Comment flow'!$A$40:$A$46,0)),""))</f>
        <v/>
      </c>
      <c r="N408" s="46" t="str">
        <f aca="false">IF(B408="","",IF(OR(I408="",I408="Open: needs a decision",L408=""),"Open","Closed"))</f>
        <v/>
      </c>
      <c r="O408" s="46"/>
      <c r="P408" s="46" t="str">
        <f aca="false">IF(OR(B408="",I408&lt;&gt;"Save for a later revision"),"",IF(COUNTIF('Deferred edits'!$K$2:$K$201,A408)&gt;0,"Yes","● Add to Deferred edits"))</f>
        <v/>
      </c>
    </row>
    <row r="409" customFormat="false" ht="15" hidden="false" customHeight="false" outlineLevel="0" collapsed="false">
      <c r="A409" s="46" t="s">
        <v>704</v>
      </c>
      <c r="B409" s="46"/>
      <c r="C409" s="46"/>
      <c r="D409" s="46"/>
      <c r="E409" s="46"/>
      <c r="F409" s="46"/>
      <c r="G409" s="46"/>
      <c r="H409" s="46"/>
      <c r="I409" s="46"/>
      <c r="J409" s="46"/>
      <c r="K409" s="46"/>
      <c r="L409" s="46"/>
      <c r="M409" s="46" t="str">
        <f aca="false">IF(OR(B409="",I409=""),"",IFERROR(INDEX('Comment flow'!$C$40:$C$46,MATCH(I409,'Comment flow'!$A$40:$A$46,0)),""))</f>
        <v/>
      </c>
      <c r="N409" s="46" t="str">
        <f aca="false">IF(B409="","",IF(OR(I409="",I409="Open: needs a decision",L409=""),"Open","Closed"))</f>
        <v/>
      </c>
      <c r="O409" s="46"/>
      <c r="P409" s="46" t="str">
        <f aca="false">IF(OR(B409="",I409&lt;&gt;"Save for a later revision"),"",IF(COUNTIF('Deferred edits'!$K$2:$K$201,A409)&gt;0,"Yes","● Add to Deferred edits"))</f>
        <v/>
      </c>
    </row>
    <row r="410" customFormat="false" ht="15" hidden="false" customHeight="false" outlineLevel="0" collapsed="false">
      <c r="A410" s="46" t="s">
        <v>705</v>
      </c>
      <c r="B410" s="46"/>
      <c r="C410" s="46"/>
      <c r="D410" s="46"/>
      <c r="E410" s="46"/>
      <c r="F410" s="46"/>
      <c r="G410" s="46"/>
      <c r="H410" s="46"/>
      <c r="I410" s="46"/>
      <c r="J410" s="46"/>
      <c r="K410" s="46"/>
      <c r="L410" s="46"/>
      <c r="M410" s="46" t="str">
        <f aca="false">IF(OR(B410="",I410=""),"",IFERROR(INDEX('Comment flow'!$C$40:$C$46,MATCH(I410,'Comment flow'!$A$40:$A$46,0)),""))</f>
        <v/>
      </c>
      <c r="N410" s="46" t="str">
        <f aca="false">IF(B410="","",IF(OR(I410="",I410="Open: needs a decision",L410=""),"Open","Closed"))</f>
        <v/>
      </c>
      <c r="O410" s="46"/>
      <c r="P410" s="46" t="str">
        <f aca="false">IF(OR(B410="",I410&lt;&gt;"Save for a later revision"),"",IF(COUNTIF('Deferred edits'!$K$2:$K$201,A410)&gt;0,"Yes","● Add to Deferred edits"))</f>
        <v/>
      </c>
    </row>
    <row r="411" customFormat="false" ht="15" hidden="false" customHeight="false" outlineLevel="0" collapsed="false">
      <c r="A411" s="46" t="s">
        <v>706</v>
      </c>
      <c r="B411" s="46"/>
      <c r="C411" s="46"/>
      <c r="D411" s="46"/>
      <c r="E411" s="46"/>
      <c r="F411" s="46"/>
      <c r="G411" s="46"/>
      <c r="H411" s="46"/>
      <c r="I411" s="46"/>
      <c r="J411" s="46"/>
      <c r="K411" s="46"/>
      <c r="L411" s="46"/>
      <c r="M411" s="46" t="str">
        <f aca="false">IF(OR(B411="",I411=""),"",IFERROR(INDEX('Comment flow'!$C$40:$C$46,MATCH(I411,'Comment flow'!$A$40:$A$46,0)),""))</f>
        <v/>
      </c>
      <c r="N411" s="46" t="str">
        <f aca="false">IF(B411="","",IF(OR(I411="",I411="Open: needs a decision",L411=""),"Open","Closed"))</f>
        <v/>
      </c>
      <c r="O411" s="46"/>
      <c r="P411" s="46" t="str">
        <f aca="false">IF(OR(B411="",I411&lt;&gt;"Save for a later revision"),"",IF(COUNTIF('Deferred edits'!$K$2:$K$201,A411)&gt;0,"Yes","● Add to Deferred edits"))</f>
        <v/>
      </c>
    </row>
    <row r="412" customFormat="false" ht="15" hidden="false" customHeight="false" outlineLevel="0" collapsed="false">
      <c r="A412" s="46" t="s">
        <v>707</v>
      </c>
      <c r="B412" s="46"/>
      <c r="C412" s="46"/>
      <c r="D412" s="46"/>
      <c r="E412" s="46"/>
      <c r="F412" s="46"/>
      <c r="G412" s="46"/>
      <c r="H412" s="46"/>
      <c r="I412" s="46"/>
      <c r="J412" s="46"/>
      <c r="K412" s="46"/>
      <c r="L412" s="46"/>
      <c r="M412" s="46" t="str">
        <f aca="false">IF(OR(B412="",I412=""),"",IFERROR(INDEX('Comment flow'!$C$40:$C$46,MATCH(I412,'Comment flow'!$A$40:$A$46,0)),""))</f>
        <v/>
      </c>
      <c r="N412" s="46" t="str">
        <f aca="false">IF(B412="","",IF(OR(I412="",I412="Open: needs a decision",L412=""),"Open","Closed"))</f>
        <v/>
      </c>
      <c r="O412" s="46"/>
      <c r="P412" s="46" t="str">
        <f aca="false">IF(OR(B412="",I412&lt;&gt;"Save for a later revision"),"",IF(COUNTIF('Deferred edits'!$K$2:$K$201,A412)&gt;0,"Yes","● Add to Deferred edits"))</f>
        <v/>
      </c>
    </row>
    <row r="413" customFormat="false" ht="15" hidden="false" customHeight="false" outlineLevel="0" collapsed="false">
      <c r="A413" s="46" t="s">
        <v>708</v>
      </c>
      <c r="B413" s="46"/>
      <c r="C413" s="46"/>
      <c r="D413" s="46"/>
      <c r="E413" s="46"/>
      <c r="F413" s="46"/>
      <c r="G413" s="46"/>
      <c r="H413" s="46"/>
      <c r="I413" s="46"/>
      <c r="J413" s="46"/>
      <c r="K413" s="46"/>
      <c r="L413" s="46"/>
      <c r="M413" s="46" t="str">
        <f aca="false">IF(OR(B413="",I413=""),"",IFERROR(INDEX('Comment flow'!$C$40:$C$46,MATCH(I413,'Comment flow'!$A$40:$A$46,0)),""))</f>
        <v/>
      </c>
      <c r="N413" s="46" t="str">
        <f aca="false">IF(B413="","",IF(OR(I413="",I413="Open: needs a decision",L413=""),"Open","Closed"))</f>
        <v/>
      </c>
      <c r="O413" s="46"/>
      <c r="P413" s="46" t="str">
        <f aca="false">IF(OR(B413="",I413&lt;&gt;"Save for a later revision"),"",IF(COUNTIF('Deferred edits'!$K$2:$K$201,A413)&gt;0,"Yes","● Add to Deferred edits"))</f>
        <v/>
      </c>
    </row>
    <row r="414" customFormat="false" ht="15" hidden="false" customHeight="false" outlineLevel="0" collapsed="false">
      <c r="A414" s="46" t="s">
        <v>709</v>
      </c>
      <c r="B414" s="46"/>
      <c r="C414" s="46"/>
      <c r="D414" s="46"/>
      <c r="E414" s="46"/>
      <c r="F414" s="46"/>
      <c r="G414" s="46"/>
      <c r="H414" s="46"/>
      <c r="I414" s="46"/>
      <c r="J414" s="46"/>
      <c r="K414" s="46"/>
      <c r="L414" s="46"/>
      <c r="M414" s="46" t="str">
        <f aca="false">IF(OR(B414="",I414=""),"",IFERROR(INDEX('Comment flow'!$C$40:$C$46,MATCH(I414,'Comment flow'!$A$40:$A$46,0)),""))</f>
        <v/>
      </c>
      <c r="N414" s="46" t="str">
        <f aca="false">IF(B414="","",IF(OR(I414="",I414="Open: needs a decision",L414=""),"Open","Closed"))</f>
        <v/>
      </c>
      <c r="O414" s="46"/>
      <c r="P414" s="46" t="str">
        <f aca="false">IF(OR(B414="",I414&lt;&gt;"Save for a later revision"),"",IF(COUNTIF('Deferred edits'!$K$2:$K$201,A414)&gt;0,"Yes","● Add to Deferred edits"))</f>
        <v/>
      </c>
    </row>
    <row r="415" customFormat="false" ht="15" hidden="false" customHeight="false" outlineLevel="0" collapsed="false">
      <c r="A415" s="46" t="s">
        <v>710</v>
      </c>
      <c r="B415" s="46"/>
      <c r="C415" s="46"/>
      <c r="D415" s="46"/>
      <c r="E415" s="46"/>
      <c r="F415" s="46"/>
      <c r="G415" s="46"/>
      <c r="H415" s="46"/>
      <c r="I415" s="46"/>
      <c r="J415" s="46"/>
      <c r="K415" s="46"/>
      <c r="L415" s="46"/>
      <c r="M415" s="46" t="str">
        <f aca="false">IF(OR(B415="",I415=""),"",IFERROR(INDEX('Comment flow'!$C$40:$C$46,MATCH(I415,'Comment flow'!$A$40:$A$46,0)),""))</f>
        <v/>
      </c>
      <c r="N415" s="46" t="str">
        <f aca="false">IF(B415="","",IF(OR(I415="",I415="Open: needs a decision",L415=""),"Open","Closed"))</f>
        <v/>
      </c>
      <c r="O415" s="46"/>
      <c r="P415" s="46" t="str">
        <f aca="false">IF(OR(B415="",I415&lt;&gt;"Save for a later revision"),"",IF(COUNTIF('Deferred edits'!$K$2:$K$201,A415)&gt;0,"Yes","● Add to Deferred edits"))</f>
        <v/>
      </c>
    </row>
    <row r="416" customFormat="false" ht="15" hidden="false" customHeight="false" outlineLevel="0" collapsed="false">
      <c r="A416" s="46" t="s">
        <v>711</v>
      </c>
      <c r="B416" s="46"/>
      <c r="C416" s="46"/>
      <c r="D416" s="46"/>
      <c r="E416" s="46"/>
      <c r="F416" s="46"/>
      <c r="G416" s="46"/>
      <c r="H416" s="46"/>
      <c r="I416" s="46"/>
      <c r="J416" s="46"/>
      <c r="K416" s="46"/>
      <c r="L416" s="46"/>
      <c r="M416" s="46" t="str">
        <f aca="false">IF(OR(B416="",I416=""),"",IFERROR(INDEX('Comment flow'!$C$40:$C$46,MATCH(I416,'Comment flow'!$A$40:$A$46,0)),""))</f>
        <v/>
      </c>
      <c r="N416" s="46" t="str">
        <f aca="false">IF(B416="","",IF(OR(I416="",I416="Open: needs a decision",L416=""),"Open","Closed"))</f>
        <v/>
      </c>
      <c r="O416" s="46"/>
      <c r="P416" s="46" t="str">
        <f aca="false">IF(OR(B416="",I416&lt;&gt;"Save for a later revision"),"",IF(COUNTIF('Deferred edits'!$K$2:$K$201,A416)&gt;0,"Yes","● Add to Deferred edits"))</f>
        <v/>
      </c>
    </row>
    <row r="417" customFormat="false" ht="15" hidden="false" customHeight="false" outlineLevel="0" collapsed="false">
      <c r="A417" s="46" t="s">
        <v>712</v>
      </c>
      <c r="B417" s="46"/>
      <c r="C417" s="46"/>
      <c r="D417" s="46"/>
      <c r="E417" s="46"/>
      <c r="F417" s="46"/>
      <c r="G417" s="46"/>
      <c r="H417" s="46"/>
      <c r="I417" s="46"/>
      <c r="J417" s="46"/>
      <c r="K417" s="46"/>
      <c r="L417" s="46"/>
      <c r="M417" s="46" t="str">
        <f aca="false">IF(OR(B417="",I417=""),"",IFERROR(INDEX('Comment flow'!$C$40:$C$46,MATCH(I417,'Comment flow'!$A$40:$A$46,0)),""))</f>
        <v/>
      </c>
      <c r="N417" s="46" t="str">
        <f aca="false">IF(B417="","",IF(OR(I417="",I417="Open: needs a decision",L417=""),"Open","Closed"))</f>
        <v/>
      </c>
      <c r="O417" s="46"/>
      <c r="P417" s="46" t="str">
        <f aca="false">IF(OR(B417="",I417&lt;&gt;"Save for a later revision"),"",IF(COUNTIF('Deferred edits'!$K$2:$K$201,A417)&gt;0,"Yes","● Add to Deferred edits"))</f>
        <v/>
      </c>
    </row>
    <row r="418" customFormat="false" ht="15" hidden="false" customHeight="false" outlineLevel="0" collapsed="false">
      <c r="A418" s="46" t="s">
        <v>713</v>
      </c>
      <c r="B418" s="46"/>
      <c r="C418" s="46"/>
      <c r="D418" s="46"/>
      <c r="E418" s="46"/>
      <c r="F418" s="46"/>
      <c r="G418" s="46"/>
      <c r="H418" s="46"/>
      <c r="I418" s="46"/>
      <c r="J418" s="46"/>
      <c r="K418" s="46"/>
      <c r="L418" s="46"/>
      <c r="M418" s="46" t="str">
        <f aca="false">IF(OR(B418="",I418=""),"",IFERROR(INDEX('Comment flow'!$C$40:$C$46,MATCH(I418,'Comment flow'!$A$40:$A$46,0)),""))</f>
        <v/>
      </c>
      <c r="N418" s="46" t="str">
        <f aca="false">IF(B418="","",IF(OR(I418="",I418="Open: needs a decision",L418=""),"Open","Closed"))</f>
        <v/>
      </c>
      <c r="O418" s="46"/>
      <c r="P418" s="46" t="str">
        <f aca="false">IF(OR(B418="",I418&lt;&gt;"Save for a later revision"),"",IF(COUNTIF('Deferred edits'!$K$2:$K$201,A418)&gt;0,"Yes","● Add to Deferred edits"))</f>
        <v/>
      </c>
    </row>
    <row r="419" customFormat="false" ht="15" hidden="false" customHeight="false" outlineLevel="0" collapsed="false">
      <c r="A419" s="46" t="s">
        <v>714</v>
      </c>
      <c r="B419" s="46"/>
      <c r="C419" s="46"/>
      <c r="D419" s="46"/>
      <c r="E419" s="46"/>
      <c r="F419" s="46"/>
      <c r="G419" s="46"/>
      <c r="H419" s="46"/>
      <c r="I419" s="46"/>
      <c r="J419" s="46"/>
      <c r="K419" s="46"/>
      <c r="L419" s="46"/>
      <c r="M419" s="46" t="str">
        <f aca="false">IF(OR(B419="",I419=""),"",IFERROR(INDEX('Comment flow'!$C$40:$C$46,MATCH(I419,'Comment flow'!$A$40:$A$46,0)),""))</f>
        <v/>
      </c>
      <c r="N419" s="46" t="str">
        <f aca="false">IF(B419="","",IF(OR(I419="",I419="Open: needs a decision",L419=""),"Open","Closed"))</f>
        <v/>
      </c>
      <c r="O419" s="46"/>
      <c r="P419" s="46" t="str">
        <f aca="false">IF(OR(B419="",I419&lt;&gt;"Save for a later revision"),"",IF(COUNTIF('Deferred edits'!$K$2:$K$201,A419)&gt;0,"Yes","● Add to Deferred edits"))</f>
        <v/>
      </c>
    </row>
    <row r="420" customFormat="false" ht="15" hidden="false" customHeight="false" outlineLevel="0" collapsed="false">
      <c r="A420" s="46" t="s">
        <v>715</v>
      </c>
      <c r="B420" s="46"/>
      <c r="C420" s="46"/>
      <c r="D420" s="46"/>
      <c r="E420" s="46"/>
      <c r="F420" s="46"/>
      <c r="G420" s="46"/>
      <c r="H420" s="46"/>
      <c r="I420" s="46"/>
      <c r="J420" s="46"/>
      <c r="K420" s="46"/>
      <c r="L420" s="46"/>
      <c r="M420" s="46" t="str">
        <f aca="false">IF(OR(B420="",I420=""),"",IFERROR(INDEX('Comment flow'!$C$40:$C$46,MATCH(I420,'Comment flow'!$A$40:$A$46,0)),""))</f>
        <v/>
      </c>
      <c r="N420" s="46" t="str">
        <f aca="false">IF(B420="","",IF(OR(I420="",I420="Open: needs a decision",L420=""),"Open","Closed"))</f>
        <v/>
      </c>
      <c r="O420" s="46"/>
      <c r="P420" s="46" t="str">
        <f aca="false">IF(OR(B420="",I420&lt;&gt;"Save for a later revision"),"",IF(COUNTIF('Deferred edits'!$K$2:$K$201,A420)&gt;0,"Yes","● Add to Deferred edits"))</f>
        <v/>
      </c>
    </row>
    <row r="421" customFormat="false" ht="15" hidden="false" customHeight="false" outlineLevel="0" collapsed="false">
      <c r="A421" s="46" t="s">
        <v>716</v>
      </c>
      <c r="B421" s="46"/>
      <c r="C421" s="46"/>
      <c r="D421" s="46"/>
      <c r="E421" s="46"/>
      <c r="F421" s="46"/>
      <c r="G421" s="46"/>
      <c r="H421" s="46"/>
      <c r="I421" s="46"/>
      <c r="J421" s="46"/>
      <c r="K421" s="46"/>
      <c r="L421" s="46"/>
      <c r="M421" s="46" t="str">
        <f aca="false">IF(OR(B421="",I421=""),"",IFERROR(INDEX('Comment flow'!$C$40:$C$46,MATCH(I421,'Comment flow'!$A$40:$A$46,0)),""))</f>
        <v/>
      </c>
      <c r="N421" s="46" t="str">
        <f aca="false">IF(B421="","",IF(OR(I421="",I421="Open: needs a decision",L421=""),"Open","Closed"))</f>
        <v/>
      </c>
      <c r="O421" s="46"/>
      <c r="P421" s="46" t="str">
        <f aca="false">IF(OR(B421="",I421&lt;&gt;"Save for a later revision"),"",IF(COUNTIF('Deferred edits'!$K$2:$K$201,A421)&gt;0,"Yes","● Add to Deferred edits"))</f>
        <v/>
      </c>
    </row>
    <row r="422" customFormat="false" ht="15" hidden="false" customHeight="false" outlineLevel="0" collapsed="false">
      <c r="A422" s="46" t="s">
        <v>717</v>
      </c>
      <c r="B422" s="46"/>
      <c r="C422" s="46"/>
      <c r="D422" s="46"/>
      <c r="E422" s="46"/>
      <c r="F422" s="46"/>
      <c r="G422" s="46"/>
      <c r="H422" s="46"/>
      <c r="I422" s="46"/>
      <c r="J422" s="46"/>
      <c r="K422" s="46"/>
      <c r="L422" s="46"/>
      <c r="M422" s="46" t="str">
        <f aca="false">IF(OR(B422="",I422=""),"",IFERROR(INDEX('Comment flow'!$C$40:$C$46,MATCH(I422,'Comment flow'!$A$40:$A$46,0)),""))</f>
        <v/>
      </c>
      <c r="N422" s="46" t="str">
        <f aca="false">IF(B422="","",IF(OR(I422="",I422="Open: needs a decision",L422=""),"Open","Closed"))</f>
        <v/>
      </c>
      <c r="O422" s="46"/>
      <c r="P422" s="46" t="str">
        <f aca="false">IF(OR(B422="",I422&lt;&gt;"Save for a later revision"),"",IF(COUNTIF('Deferred edits'!$K$2:$K$201,A422)&gt;0,"Yes","● Add to Deferred edits"))</f>
        <v/>
      </c>
    </row>
    <row r="423" customFormat="false" ht="15" hidden="false" customHeight="false" outlineLevel="0" collapsed="false">
      <c r="A423" s="46" t="s">
        <v>718</v>
      </c>
      <c r="B423" s="46"/>
      <c r="C423" s="46"/>
      <c r="D423" s="46"/>
      <c r="E423" s="46"/>
      <c r="F423" s="46"/>
      <c r="G423" s="46"/>
      <c r="H423" s="46"/>
      <c r="I423" s="46"/>
      <c r="J423" s="46"/>
      <c r="K423" s="46"/>
      <c r="L423" s="46"/>
      <c r="M423" s="46" t="str">
        <f aca="false">IF(OR(B423="",I423=""),"",IFERROR(INDEX('Comment flow'!$C$40:$C$46,MATCH(I423,'Comment flow'!$A$40:$A$46,0)),""))</f>
        <v/>
      </c>
      <c r="N423" s="46" t="str">
        <f aca="false">IF(B423="","",IF(OR(I423="",I423="Open: needs a decision",L423=""),"Open","Closed"))</f>
        <v/>
      </c>
      <c r="O423" s="46"/>
      <c r="P423" s="46" t="str">
        <f aca="false">IF(OR(B423="",I423&lt;&gt;"Save for a later revision"),"",IF(COUNTIF('Deferred edits'!$K$2:$K$201,A423)&gt;0,"Yes","● Add to Deferred edits"))</f>
        <v/>
      </c>
    </row>
    <row r="424" customFormat="false" ht="15" hidden="false" customHeight="false" outlineLevel="0" collapsed="false">
      <c r="A424" s="46" t="s">
        <v>719</v>
      </c>
      <c r="B424" s="46"/>
      <c r="C424" s="46"/>
      <c r="D424" s="46"/>
      <c r="E424" s="46"/>
      <c r="F424" s="46"/>
      <c r="G424" s="46"/>
      <c r="H424" s="46"/>
      <c r="I424" s="46"/>
      <c r="J424" s="46"/>
      <c r="K424" s="46"/>
      <c r="L424" s="46"/>
      <c r="M424" s="46" t="str">
        <f aca="false">IF(OR(B424="",I424=""),"",IFERROR(INDEX('Comment flow'!$C$40:$C$46,MATCH(I424,'Comment flow'!$A$40:$A$46,0)),""))</f>
        <v/>
      </c>
      <c r="N424" s="46" t="str">
        <f aca="false">IF(B424="","",IF(OR(I424="",I424="Open: needs a decision",L424=""),"Open","Closed"))</f>
        <v/>
      </c>
      <c r="O424" s="46"/>
      <c r="P424" s="46" t="str">
        <f aca="false">IF(OR(B424="",I424&lt;&gt;"Save for a later revision"),"",IF(COUNTIF('Deferred edits'!$K$2:$K$201,A424)&gt;0,"Yes","● Add to Deferred edits"))</f>
        <v/>
      </c>
    </row>
    <row r="425" customFormat="false" ht="15" hidden="false" customHeight="false" outlineLevel="0" collapsed="false">
      <c r="A425" s="46" t="s">
        <v>720</v>
      </c>
      <c r="B425" s="46"/>
      <c r="C425" s="46"/>
      <c r="D425" s="46"/>
      <c r="E425" s="46"/>
      <c r="F425" s="46"/>
      <c r="G425" s="46"/>
      <c r="H425" s="46"/>
      <c r="I425" s="46"/>
      <c r="J425" s="46"/>
      <c r="K425" s="46"/>
      <c r="L425" s="46"/>
      <c r="M425" s="46" t="str">
        <f aca="false">IF(OR(B425="",I425=""),"",IFERROR(INDEX('Comment flow'!$C$40:$C$46,MATCH(I425,'Comment flow'!$A$40:$A$46,0)),""))</f>
        <v/>
      </c>
      <c r="N425" s="46" t="str">
        <f aca="false">IF(B425="","",IF(OR(I425="",I425="Open: needs a decision",L425=""),"Open","Closed"))</f>
        <v/>
      </c>
      <c r="O425" s="46"/>
      <c r="P425" s="46" t="str">
        <f aca="false">IF(OR(B425="",I425&lt;&gt;"Save for a later revision"),"",IF(COUNTIF('Deferred edits'!$K$2:$K$201,A425)&gt;0,"Yes","● Add to Deferred edits"))</f>
        <v/>
      </c>
    </row>
    <row r="426" customFormat="false" ht="15" hidden="false" customHeight="false" outlineLevel="0" collapsed="false">
      <c r="A426" s="46" t="s">
        <v>721</v>
      </c>
      <c r="B426" s="46"/>
      <c r="C426" s="46"/>
      <c r="D426" s="46"/>
      <c r="E426" s="46"/>
      <c r="F426" s="46"/>
      <c r="G426" s="46"/>
      <c r="H426" s="46"/>
      <c r="I426" s="46"/>
      <c r="J426" s="46"/>
      <c r="K426" s="46"/>
      <c r="L426" s="46"/>
      <c r="M426" s="46" t="str">
        <f aca="false">IF(OR(B426="",I426=""),"",IFERROR(INDEX('Comment flow'!$C$40:$C$46,MATCH(I426,'Comment flow'!$A$40:$A$46,0)),""))</f>
        <v/>
      </c>
      <c r="N426" s="46" t="str">
        <f aca="false">IF(B426="","",IF(OR(I426="",I426="Open: needs a decision",L426=""),"Open","Closed"))</f>
        <v/>
      </c>
      <c r="O426" s="46"/>
      <c r="P426" s="46" t="str">
        <f aca="false">IF(OR(B426="",I426&lt;&gt;"Save for a later revision"),"",IF(COUNTIF('Deferred edits'!$K$2:$K$201,A426)&gt;0,"Yes","● Add to Deferred edits"))</f>
        <v/>
      </c>
    </row>
    <row r="427" customFormat="false" ht="15" hidden="false" customHeight="false" outlineLevel="0" collapsed="false">
      <c r="A427" s="46" t="s">
        <v>722</v>
      </c>
      <c r="B427" s="46"/>
      <c r="C427" s="46"/>
      <c r="D427" s="46"/>
      <c r="E427" s="46"/>
      <c r="F427" s="46"/>
      <c r="G427" s="46"/>
      <c r="H427" s="46"/>
      <c r="I427" s="46"/>
      <c r="J427" s="46"/>
      <c r="K427" s="46"/>
      <c r="L427" s="46"/>
      <c r="M427" s="46" t="str">
        <f aca="false">IF(OR(B427="",I427=""),"",IFERROR(INDEX('Comment flow'!$C$40:$C$46,MATCH(I427,'Comment flow'!$A$40:$A$46,0)),""))</f>
        <v/>
      </c>
      <c r="N427" s="46" t="str">
        <f aca="false">IF(B427="","",IF(OR(I427="",I427="Open: needs a decision",L427=""),"Open","Closed"))</f>
        <v/>
      </c>
      <c r="O427" s="46"/>
      <c r="P427" s="46" t="str">
        <f aca="false">IF(OR(B427="",I427&lt;&gt;"Save for a later revision"),"",IF(COUNTIF('Deferred edits'!$K$2:$K$201,A427)&gt;0,"Yes","● Add to Deferred edits"))</f>
        <v/>
      </c>
    </row>
    <row r="428" customFormat="false" ht="15" hidden="false" customHeight="false" outlineLevel="0" collapsed="false">
      <c r="A428" s="46" t="s">
        <v>723</v>
      </c>
      <c r="B428" s="46"/>
      <c r="C428" s="46"/>
      <c r="D428" s="46"/>
      <c r="E428" s="46"/>
      <c r="F428" s="46"/>
      <c r="G428" s="46"/>
      <c r="H428" s="46"/>
      <c r="I428" s="46"/>
      <c r="J428" s="46"/>
      <c r="K428" s="46"/>
      <c r="L428" s="46"/>
      <c r="M428" s="46" t="str">
        <f aca="false">IF(OR(B428="",I428=""),"",IFERROR(INDEX('Comment flow'!$C$40:$C$46,MATCH(I428,'Comment flow'!$A$40:$A$46,0)),""))</f>
        <v/>
      </c>
      <c r="N428" s="46" t="str">
        <f aca="false">IF(B428="","",IF(OR(I428="",I428="Open: needs a decision",L428=""),"Open","Closed"))</f>
        <v/>
      </c>
      <c r="O428" s="46"/>
      <c r="P428" s="46" t="str">
        <f aca="false">IF(OR(B428="",I428&lt;&gt;"Save for a later revision"),"",IF(COUNTIF('Deferred edits'!$K$2:$K$201,A428)&gt;0,"Yes","● Add to Deferred edits"))</f>
        <v/>
      </c>
    </row>
    <row r="429" customFormat="false" ht="15" hidden="false" customHeight="false" outlineLevel="0" collapsed="false">
      <c r="A429" s="46" t="s">
        <v>724</v>
      </c>
      <c r="B429" s="46"/>
      <c r="C429" s="46"/>
      <c r="D429" s="46"/>
      <c r="E429" s="46"/>
      <c r="F429" s="46"/>
      <c r="G429" s="46"/>
      <c r="H429" s="46"/>
      <c r="I429" s="46"/>
      <c r="J429" s="46"/>
      <c r="K429" s="46"/>
      <c r="L429" s="46"/>
      <c r="M429" s="46" t="str">
        <f aca="false">IF(OR(B429="",I429=""),"",IFERROR(INDEX('Comment flow'!$C$40:$C$46,MATCH(I429,'Comment flow'!$A$40:$A$46,0)),""))</f>
        <v/>
      </c>
      <c r="N429" s="46" t="str">
        <f aca="false">IF(B429="","",IF(OR(I429="",I429="Open: needs a decision",L429=""),"Open","Closed"))</f>
        <v/>
      </c>
      <c r="O429" s="46"/>
      <c r="P429" s="46" t="str">
        <f aca="false">IF(OR(B429="",I429&lt;&gt;"Save for a later revision"),"",IF(COUNTIF('Deferred edits'!$K$2:$K$201,A429)&gt;0,"Yes","● Add to Deferred edits"))</f>
        <v/>
      </c>
    </row>
    <row r="430" customFormat="false" ht="15" hidden="false" customHeight="false" outlineLevel="0" collapsed="false">
      <c r="A430" s="46" t="s">
        <v>725</v>
      </c>
      <c r="B430" s="46"/>
      <c r="C430" s="46"/>
      <c r="D430" s="46"/>
      <c r="E430" s="46"/>
      <c r="F430" s="46"/>
      <c r="G430" s="46"/>
      <c r="H430" s="46"/>
      <c r="I430" s="46"/>
      <c r="J430" s="46"/>
      <c r="K430" s="46"/>
      <c r="L430" s="46"/>
      <c r="M430" s="46" t="str">
        <f aca="false">IF(OR(B430="",I430=""),"",IFERROR(INDEX('Comment flow'!$C$40:$C$46,MATCH(I430,'Comment flow'!$A$40:$A$46,0)),""))</f>
        <v/>
      </c>
      <c r="N430" s="46" t="str">
        <f aca="false">IF(B430="","",IF(OR(I430="",I430="Open: needs a decision",L430=""),"Open","Closed"))</f>
        <v/>
      </c>
      <c r="O430" s="46"/>
      <c r="P430" s="46" t="str">
        <f aca="false">IF(OR(B430="",I430&lt;&gt;"Save for a later revision"),"",IF(COUNTIF('Deferred edits'!$K$2:$K$201,A430)&gt;0,"Yes","● Add to Deferred edits"))</f>
        <v/>
      </c>
    </row>
    <row r="431" customFormat="false" ht="15" hidden="false" customHeight="false" outlineLevel="0" collapsed="false">
      <c r="A431" s="46" t="s">
        <v>726</v>
      </c>
      <c r="B431" s="46"/>
      <c r="C431" s="46"/>
      <c r="D431" s="46"/>
      <c r="E431" s="46"/>
      <c r="F431" s="46"/>
      <c r="G431" s="46"/>
      <c r="H431" s="46"/>
      <c r="I431" s="46"/>
      <c r="J431" s="46"/>
      <c r="K431" s="46"/>
      <c r="L431" s="46"/>
      <c r="M431" s="46" t="str">
        <f aca="false">IF(OR(B431="",I431=""),"",IFERROR(INDEX('Comment flow'!$C$40:$C$46,MATCH(I431,'Comment flow'!$A$40:$A$46,0)),""))</f>
        <v/>
      </c>
      <c r="N431" s="46" t="str">
        <f aca="false">IF(B431="","",IF(OR(I431="",I431="Open: needs a decision",L431=""),"Open","Closed"))</f>
        <v/>
      </c>
      <c r="O431" s="46"/>
      <c r="P431" s="46" t="str">
        <f aca="false">IF(OR(B431="",I431&lt;&gt;"Save for a later revision"),"",IF(COUNTIF('Deferred edits'!$K$2:$K$201,A431)&gt;0,"Yes","● Add to Deferred edits"))</f>
        <v/>
      </c>
    </row>
    <row r="432" customFormat="false" ht="15" hidden="false" customHeight="false" outlineLevel="0" collapsed="false">
      <c r="A432" s="46" t="s">
        <v>727</v>
      </c>
      <c r="B432" s="46"/>
      <c r="C432" s="46"/>
      <c r="D432" s="46"/>
      <c r="E432" s="46"/>
      <c r="F432" s="46"/>
      <c r="G432" s="46"/>
      <c r="H432" s="46"/>
      <c r="I432" s="46"/>
      <c r="J432" s="46"/>
      <c r="K432" s="46"/>
      <c r="L432" s="46"/>
      <c r="M432" s="46" t="str">
        <f aca="false">IF(OR(B432="",I432=""),"",IFERROR(INDEX('Comment flow'!$C$40:$C$46,MATCH(I432,'Comment flow'!$A$40:$A$46,0)),""))</f>
        <v/>
      </c>
      <c r="N432" s="46" t="str">
        <f aca="false">IF(B432="","",IF(OR(I432="",I432="Open: needs a decision",L432=""),"Open","Closed"))</f>
        <v/>
      </c>
      <c r="O432" s="46"/>
      <c r="P432" s="46" t="str">
        <f aca="false">IF(OR(B432="",I432&lt;&gt;"Save for a later revision"),"",IF(COUNTIF('Deferred edits'!$K$2:$K$201,A432)&gt;0,"Yes","● Add to Deferred edits"))</f>
        <v/>
      </c>
    </row>
    <row r="433" customFormat="false" ht="15" hidden="false" customHeight="false" outlineLevel="0" collapsed="false">
      <c r="A433" s="46" t="s">
        <v>728</v>
      </c>
      <c r="B433" s="46"/>
      <c r="C433" s="46"/>
      <c r="D433" s="46"/>
      <c r="E433" s="46"/>
      <c r="F433" s="46"/>
      <c r="G433" s="46"/>
      <c r="H433" s="46"/>
      <c r="I433" s="46"/>
      <c r="J433" s="46"/>
      <c r="K433" s="46"/>
      <c r="L433" s="46"/>
      <c r="M433" s="46" t="str">
        <f aca="false">IF(OR(B433="",I433=""),"",IFERROR(INDEX('Comment flow'!$C$40:$C$46,MATCH(I433,'Comment flow'!$A$40:$A$46,0)),""))</f>
        <v/>
      </c>
      <c r="N433" s="46" t="str">
        <f aca="false">IF(B433="","",IF(OR(I433="",I433="Open: needs a decision",L433=""),"Open","Closed"))</f>
        <v/>
      </c>
      <c r="O433" s="46"/>
      <c r="P433" s="46" t="str">
        <f aca="false">IF(OR(B433="",I433&lt;&gt;"Save for a later revision"),"",IF(COUNTIF('Deferred edits'!$K$2:$K$201,A433)&gt;0,"Yes","● Add to Deferred edits"))</f>
        <v/>
      </c>
    </row>
    <row r="434" customFormat="false" ht="15" hidden="false" customHeight="false" outlineLevel="0" collapsed="false">
      <c r="A434" s="46" t="s">
        <v>729</v>
      </c>
      <c r="B434" s="46"/>
      <c r="C434" s="46"/>
      <c r="D434" s="46"/>
      <c r="E434" s="46"/>
      <c r="F434" s="46"/>
      <c r="G434" s="46"/>
      <c r="H434" s="46"/>
      <c r="I434" s="46"/>
      <c r="J434" s="46"/>
      <c r="K434" s="46"/>
      <c r="L434" s="46"/>
      <c r="M434" s="46" t="str">
        <f aca="false">IF(OR(B434="",I434=""),"",IFERROR(INDEX('Comment flow'!$C$40:$C$46,MATCH(I434,'Comment flow'!$A$40:$A$46,0)),""))</f>
        <v/>
      </c>
      <c r="N434" s="46" t="str">
        <f aca="false">IF(B434="","",IF(OR(I434="",I434="Open: needs a decision",L434=""),"Open","Closed"))</f>
        <v/>
      </c>
      <c r="O434" s="46"/>
      <c r="P434" s="46" t="str">
        <f aca="false">IF(OR(B434="",I434&lt;&gt;"Save for a later revision"),"",IF(COUNTIF('Deferred edits'!$K$2:$K$201,A434)&gt;0,"Yes","● Add to Deferred edits"))</f>
        <v/>
      </c>
    </row>
    <row r="435" customFormat="false" ht="15" hidden="false" customHeight="false" outlineLevel="0" collapsed="false">
      <c r="A435" s="46" t="s">
        <v>730</v>
      </c>
      <c r="B435" s="46"/>
      <c r="C435" s="46"/>
      <c r="D435" s="46"/>
      <c r="E435" s="46"/>
      <c r="F435" s="46"/>
      <c r="G435" s="46"/>
      <c r="H435" s="46"/>
      <c r="I435" s="46"/>
      <c r="J435" s="46"/>
      <c r="K435" s="46"/>
      <c r="L435" s="46"/>
      <c r="M435" s="46" t="str">
        <f aca="false">IF(OR(B435="",I435=""),"",IFERROR(INDEX('Comment flow'!$C$40:$C$46,MATCH(I435,'Comment flow'!$A$40:$A$46,0)),""))</f>
        <v/>
      </c>
      <c r="N435" s="46" t="str">
        <f aca="false">IF(B435="","",IF(OR(I435="",I435="Open: needs a decision",L435=""),"Open","Closed"))</f>
        <v/>
      </c>
      <c r="O435" s="46"/>
      <c r="P435" s="46" t="str">
        <f aca="false">IF(OR(B435="",I435&lt;&gt;"Save for a later revision"),"",IF(COUNTIF('Deferred edits'!$K$2:$K$201,A435)&gt;0,"Yes","● Add to Deferred edits"))</f>
        <v/>
      </c>
    </row>
    <row r="436" customFormat="false" ht="15" hidden="false" customHeight="false" outlineLevel="0" collapsed="false">
      <c r="A436" s="46" t="s">
        <v>731</v>
      </c>
      <c r="B436" s="46"/>
      <c r="C436" s="46"/>
      <c r="D436" s="46"/>
      <c r="E436" s="46"/>
      <c r="F436" s="46"/>
      <c r="G436" s="46"/>
      <c r="H436" s="46"/>
      <c r="I436" s="46"/>
      <c r="J436" s="46"/>
      <c r="K436" s="46"/>
      <c r="L436" s="46"/>
      <c r="M436" s="46" t="str">
        <f aca="false">IF(OR(B436="",I436=""),"",IFERROR(INDEX('Comment flow'!$C$40:$C$46,MATCH(I436,'Comment flow'!$A$40:$A$46,0)),""))</f>
        <v/>
      </c>
      <c r="N436" s="46" t="str">
        <f aca="false">IF(B436="","",IF(OR(I436="",I436="Open: needs a decision",L436=""),"Open","Closed"))</f>
        <v/>
      </c>
      <c r="O436" s="46"/>
      <c r="P436" s="46" t="str">
        <f aca="false">IF(OR(B436="",I436&lt;&gt;"Save for a later revision"),"",IF(COUNTIF('Deferred edits'!$K$2:$K$201,A436)&gt;0,"Yes","● Add to Deferred edits"))</f>
        <v/>
      </c>
    </row>
    <row r="437" customFormat="false" ht="15" hidden="false" customHeight="false" outlineLevel="0" collapsed="false">
      <c r="A437" s="46" t="s">
        <v>732</v>
      </c>
      <c r="B437" s="46"/>
      <c r="C437" s="46"/>
      <c r="D437" s="46"/>
      <c r="E437" s="46"/>
      <c r="F437" s="46"/>
      <c r="G437" s="46"/>
      <c r="H437" s="46"/>
      <c r="I437" s="46"/>
      <c r="J437" s="46"/>
      <c r="K437" s="46"/>
      <c r="L437" s="46"/>
      <c r="M437" s="46" t="str">
        <f aca="false">IF(OR(B437="",I437=""),"",IFERROR(INDEX('Comment flow'!$C$40:$C$46,MATCH(I437,'Comment flow'!$A$40:$A$46,0)),""))</f>
        <v/>
      </c>
      <c r="N437" s="46" t="str">
        <f aca="false">IF(B437="","",IF(OR(I437="",I437="Open: needs a decision",L437=""),"Open","Closed"))</f>
        <v/>
      </c>
      <c r="O437" s="46"/>
      <c r="P437" s="46" t="str">
        <f aca="false">IF(OR(B437="",I437&lt;&gt;"Save for a later revision"),"",IF(COUNTIF('Deferred edits'!$K$2:$K$201,A437)&gt;0,"Yes","● Add to Deferred edits"))</f>
        <v/>
      </c>
    </row>
    <row r="438" customFormat="false" ht="15" hidden="false" customHeight="false" outlineLevel="0" collapsed="false">
      <c r="A438" s="46" t="s">
        <v>733</v>
      </c>
      <c r="B438" s="46"/>
      <c r="C438" s="46"/>
      <c r="D438" s="46"/>
      <c r="E438" s="46"/>
      <c r="F438" s="46"/>
      <c r="G438" s="46"/>
      <c r="H438" s="46"/>
      <c r="I438" s="46"/>
      <c r="J438" s="46"/>
      <c r="K438" s="46"/>
      <c r="L438" s="46"/>
      <c r="M438" s="46" t="str">
        <f aca="false">IF(OR(B438="",I438=""),"",IFERROR(INDEX('Comment flow'!$C$40:$C$46,MATCH(I438,'Comment flow'!$A$40:$A$46,0)),""))</f>
        <v/>
      </c>
      <c r="N438" s="46" t="str">
        <f aca="false">IF(B438="","",IF(OR(I438="",I438="Open: needs a decision",L438=""),"Open","Closed"))</f>
        <v/>
      </c>
      <c r="O438" s="46"/>
      <c r="P438" s="46" t="str">
        <f aca="false">IF(OR(B438="",I438&lt;&gt;"Save for a later revision"),"",IF(COUNTIF('Deferred edits'!$K$2:$K$201,A438)&gt;0,"Yes","● Add to Deferred edits"))</f>
        <v/>
      </c>
    </row>
    <row r="439" customFormat="false" ht="15" hidden="false" customHeight="false" outlineLevel="0" collapsed="false">
      <c r="A439" s="46" t="s">
        <v>734</v>
      </c>
      <c r="B439" s="46"/>
      <c r="C439" s="46"/>
      <c r="D439" s="46"/>
      <c r="E439" s="46"/>
      <c r="F439" s="46"/>
      <c r="G439" s="46"/>
      <c r="H439" s="46"/>
      <c r="I439" s="46"/>
      <c r="J439" s="46"/>
      <c r="K439" s="46"/>
      <c r="L439" s="46"/>
      <c r="M439" s="46" t="str">
        <f aca="false">IF(OR(B439="",I439=""),"",IFERROR(INDEX('Comment flow'!$C$40:$C$46,MATCH(I439,'Comment flow'!$A$40:$A$46,0)),""))</f>
        <v/>
      </c>
      <c r="N439" s="46" t="str">
        <f aca="false">IF(B439="","",IF(OR(I439="",I439="Open: needs a decision",L439=""),"Open","Closed"))</f>
        <v/>
      </c>
      <c r="O439" s="46"/>
      <c r="P439" s="46" t="str">
        <f aca="false">IF(OR(B439="",I439&lt;&gt;"Save for a later revision"),"",IF(COUNTIF('Deferred edits'!$K$2:$K$201,A439)&gt;0,"Yes","● Add to Deferred edits"))</f>
        <v/>
      </c>
    </row>
    <row r="440" customFormat="false" ht="15" hidden="false" customHeight="false" outlineLevel="0" collapsed="false">
      <c r="A440" s="46" t="s">
        <v>735</v>
      </c>
      <c r="B440" s="46"/>
      <c r="C440" s="46"/>
      <c r="D440" s="46"/>
      <c r="E440" s="46"/>
      <c r="F440" s="46"/>
      <c r="G440" s="46"/>
      <c r="H440" s="46"/>
      <c r="I440" s="46"/>
      <c r="J440" s="46"/>
      <c r="K440" s="46"/>
      <c r="L440" s="46"/>
      <c r="M440" s="46" t="str">
        <f aca="false">IF(OR(B440="",I440=""),"",IFERROR(INDEX('Comment flow'!$C$40:$C$46,MATCH(I440,'Comment flow'!$A$40:$A$46,0)),""))</f>
        <v/>
      </c>
      <c r="N440" s="46" t="str">
        <f aca="false">IF(B440="","",IF(OR(I440="",I440="Open: needs a decision",L440=""),"Open","Closed"))</f>
        <v/>
      </c>
      <c r="O440" s="46"/>
      <c r="P440" s="46" t="str">
        <f aca="false">IF(OR(B440="",I440&lt;&gt;"Save for a later revision"),"",IF(COUNTIF('Deferred edits'!$K$2:$K$201,A440)&gt;0,"Yes","● Add to Deferred edits"))</f>
        <v/>
      </c>
    </row>
    <row r="441" customFormat="false" ht="15" hidden="false" customHeight="false" outlineLevel="0" collapsed="false">
      <c r="A441" s="46" t="s">
        <v>736</v>
      </c>
      <c r="B441" s="46"/>
      <c r="C441" s="46"/>
      <c r="D441" s="46"/>
      <c r="E441" s="46"/>
      <c r="F441" s="46"/>
      <c r="G441" s="46"/>
      <c r="H441" s="46"/>
      <c r="I441" s="46"/>
      <c r="J441" s="46"/>
      <c r="K441" s="46"/>
      <c r="L441" s="46"/>
      <c r="M441" s="46" t="str">
        <f aca="false">IF(OR(B441="",I441=""),"",IFERROR(INDEX('Comment flow'!$C$40:$C$46,MATCH(I441,'Comment flow'!$A$40:$A$46,0)),""))</f>
        <v/>
      </c>
      <c r="N441" s="46" t="str">
        <f aca="false">IF(B441="","",IF(OR(I441="",I441="Open: needs a decision",L441=""),"Open","Closed"))</f>
        <v/>
      </c>
      <c r="O441" s="46"/>
      <c r="P441" s="46" t="str">
        <f aca="false">IF(OR(B441="",I441&lt;&gt;"Save for a later revision"),"",IF(COUNTIF('Deferred edits'!$K$2:$K$201,A441)&gt;0,"Yes","● Add to Deferred edits"))</f>
        <v/>
      </c>
    </row>
    <row r="442" customFormat="false" ht="15" hidden="false" customHeight="false" outlineLevel="0" collapsed="false">
      <c r="A442" s="46" t="s">
        <v>737</v>
      </c>
      <c r="B442" s="46"/>
      <c r="C442" s="46"/>
      <c r="D442" s="46"/>
      <c r="E442" s="46"/>
      <c r="F442" s="46"/>
      <c r="G442" s="46"/>
      <c r="H442" s="46"/>
      <c r="I442" s="46"/>
      <c r="J442" s="46"/>
      <c r="K442" s="46"/>
      <c r="L442" s="46"/>
      <c r="M442" s="46" t="str">
        <f aca="false">IF(OR(B442="",I442=""),"",IFERROR(INDEX('Comment flow'!$C$40:$C$46,MATCH(I442,'Comment flow'!$A$40:$A$46,0)),""))</f>
        <v/>
      </c>
      <c r="N442" s="46" t="str">
        <f aca="false">IF(B442="","",IF(OR(I442="",I442="Open: needs a decision",L442=""),"Open","Closed"))</f>
        <v/>
      </c>
      <c r="O442" s="46"/>
      <c r="P442" s="46" t="str">
        <f aca="false">IF(OR(B442="",I442&lt;&gt;"Save for a later revision"),"",IF(COUNTIF('Deferred edits'!$K$2:$K$201,A442)&gt;0,"Yes","● Add to Deferred edits"))</f>
        <v/>
      </c>
    </row>
    <row r="443" customFormat="false" ht="15" hidden="false" customHeight="false" outlineLevel="0" collapsed="false">
      <c r="A443" s="46" t="s">
        <v>738</v>
      </c>
      <c r="B443" s="46"/>
      <c r="C443" s="46"/>
      <c r="D443" s="46"/>
      <c r="E443" s="46"/>
      <c r="F443" s="46"/>
      <c r="G443" s="46"/>
      <c r="H443" s="46"/>
      <c r="I443" s="46"/>
      <c r="J443" s="46"/>
      <c r="K443" s="46"/>
      <c r="L443" s="46"/>
      <c r="M443" s="46" t="str">
        <f aca="false">IF(OR(B443="",I443=""),"",IFERROR(INDEX('Comment flow'!$C$40:$C$46,MATCH(I443,'Comment flow'!$A$40:$A$46,0)),""))</f>
        <v/>
      </c>
      <c r="N443" s="46" t="str">
        <f aca="false">IF(B443="","",IF(OR(I443="",I443="Open: needs a decision",L443=""),"Open","Closed"))</f>
        <v/>
      </c>
      <c r="O443" s="46"/>
      <c r="P443" s="46" t="str">
        <f aca="false">IF(OR(B443="",I443&lt;&gt;"Save for a later revision"),"",IF(COUNTIF('Deferred edits'!$K$2:$K$201,A443)&gt;0,"Yes","● Add to Deferred edits"))</f>
        <v/>
      </c>
    </row>
    <row r="444" customFormat="false" ht="15" hidden="false" customHeight="false" outlineLevel="0" collapsed="false">
      <c r="A444" s="46" t="s">
        <v>739</v>
      </c>
      <c r="B444" s="46"/>
      <c r="C444" s="46"/>
      <c r="D444" s="46"/>
      <c r="E444" s="46"/>
      <c r="F444" s="46"/>
      <c r="G444" s="46"/>
      <c r="H444" s="46"/>
      <c r="I444" s="46"/>
      <c r="J444" s="46"/>
      <c r="K444" s="46"/>
      <c r="L444" s="46"/>
      <c r="M444" s="46" t="str">
        <f aca="false">IF(OR(B444="",I444=""),"",IFERROR(INDEX('Comment flow'!$C$40:$C$46,MATCH(I444,'Comment flow'!$A$40:$A$46,0)),""))</f>
        <v/>
      </c>
      <c r="N444" s="46" t="str">
        <f aca="false">IF(B444="","",IF(OR(I444="",I444="Open: needs a decision",L444=""),"Open","Closed"))</f>
        <v/>
      </c>
      <c r="O444" s="46"/>
      <c r="P444" s="46" t="str">
        <f aca="false">IF(OR(B444="",I444&lt;&gt;"Save for a later revision"),"",IF(COUNTIF('Deferred edits'!$K$2:$K$201,A444)&gt;0,"Yes","● Add to Deferred edits"))</f>
        <v/>
      </c>
    </row>
    <row r="445" customFormat="false" ht="15" hidden="false" customHeight="false" outlineLevel="0" collapsed="false">
      <c r="A445" s="46" t="s">
        <v>740</v>
      </c>
      <c r="B445" s="46"/>
      <c r="C445" s="46"/>
      <c r="D445" s="46"/>
      <c r="E445" s="46"/>
      <c r="F445" s="46"/>
      <c r="G445" s="46"/>
      <c r="H445" s="46"/>
      <c r="I445" s="46"/>
      <c r="J445" s="46"/>
      <c r="K445" s="46"/>
      <c r="L445" s="46"/>
      <c r="M445" s="46" t="str">
        <f aca="false">IF(OR(B445="",I445=""),"",IFERROR(INDEX('Comment flow'!$C$40:$C$46,MATCH(I445,'Comment flow'!$A$40:$A$46,0)),""))</f>
        <v/>
      </c>
      <c r="N445" s="46" t="str">
        <f aca="false">IF(B445="","",IF(OR(I445="",I445="Open: needs a decision",L445=""),"Open","Closed"))</f>
        <v/>
      </c>
      <c r="O445" s="46"/>
      <c r="P445" s="46" t="str">
        <f aca="false">IF(OR(B445="",I445&lt;&gt;"Save for a later revision"),"",IF(COUNTIF('Deferred edits'!$K$2:$K$201,A445)&gt;0,"Yes","● Add to Deferred edits"))</f>
        <v/>
      </c>
    </row>
    <row r="446" customFormat="false" ht="15" hidden="false" customHeight="false" outlineLevel="0" collapsed="false">
      <c r="A446" s="46" t="s">
        <v>741</v>
      </c>
      <c r="B446" s="46"/>
      <c r="C446" s="46"/>
      <c r="D446" s="46"/>
      <c r="E446" s="46"/>
      <c r="F446" s="46"/>
      <c r="G446" s="46"/>
      <c r="H446" s="46"/>
      <c r="I446" s="46"/>
      <c r="J446" s="46"/>
      <c r="K446" s="46"/>
      <c r="L446" s="46"/>
      <c r="M446" s="46" t="str">
        <f aca="false">IF(OR(B446="",I446=""),"",IFERROR(INDEX('Comment flow'!$C$40:$C$46,MATCH(I446,'Comment flow'!$A$40:$A$46,0)),""))</f>
        <v/>
      </c>
      <c r="N446" s="46" t="str">
        <f aca="false">IF(B446="","",IF(OR(I446="",I446="Open: needs a decision",L446=""),"Open","Closed"))</f>
        <v/>
      </c>
      <c r="O446" s="46"/>
      <c r="P446" s="46" t="str">
        <f aca="false">IF(OR(B446="",I446&lt;&gt;"Save for a later revision"),"",IF(COUNTIF('Deferred edits'!$K$2:$K$201,A446)&gt;0,"Yes","● Add to Deferred edits"))</f>
        <v/>
      </c>
    </row>
    <row r="447" customFormat="false" ht="15" hidden="false" customHeight="false" outlineLevel="0" collapsed="false">
      <c r="A447" s="46" t="s">
        <v>742</v>
      </c>
      <c r="B447" s="46"/>
      <c r="C447" s="46"/>
      <c r="D447" s="46"/>
      <c r="E447" s="46"/>
      <c r="F447" s="46"/>
      <c r="G447" s="46"/>
      <c r="H447" s="46"/>
      <c r="I447" s="46"/>
      <c r="J447" s="46"/>
      <c r="K447" s="46"/>
      <c r="L447" s="46"/>
      <c r="M447" s="46" t="str">
        <f aca="false">IF(OR(B447="",I447=""),"",IFERROR(INDEX('Comment flow'!$C$40:$C$46,MATCH(I447,'Comment flow'!$A$40:$A$46,0)),""))</f>
        <v/>
      </c>
      <c r="N447" s="46" t="str">
        <f aca="false">IF(B447="","",IF(OR(I447="",I447="Open: needs a decision",L447=""),"Open","Closed"))</f>
        <v/>
      </c>
      <c r="O447" s="46"/>
      <c r="P447" s="46" t="str">
        <f aca="false">IF(OR(B447="",I447&lt;&gt;"Save for a later revision"),"",IF(COUNTIF('Deferred edits'!$K$2:$K$201,A447)&gt;0,"Yes","● Add to Deferred edits"))</f>
        <v/>
      </c>
    </row>
    <row r="448" customFormat="false" ht="15" hidden="false" customHeight="false" outlineLevel="0" collapsed="false">
      <c r="A448" s="46" t="s">
        <v>743</v>
      </c>
      <c r="B448" s="46"/>
      <c r="C448" s="46"/>
      <c r="D448" s="46"/>
      <c r="E448" s="46"/>
      <c r="F448" s="46"/>
      <c r="G448" s="46"/>
      <c r="H448" s="46"/>
      <c r="I448" s="46"/>
      <c r="J448" s="46"/>
      <c r="K448" s="46"/>
      <c r="L448" s="46"/>
      <c r="M448" s="46" t="str">
        <f aca="false">IF(OR(B448="",I448=""),"",IFERROR(INDEX('Comment flow'!$C$40:$C$46,MATCH(I448,'Comment flow'!$A$40:$A$46,0)),""))</f>
        <v/>
      </c>
      <c r="N448" s="46" t="str">
        <f aca="false">IF(B448="","",IF(OR(I448="",I448="Open: needs a decision",L448=""),"Open","Closed"))</f>
        <v/>
      </c>
      <c r="O448" s="46"/>
      <c r="P448" s="46" t="str">
        <f aca="false">IF(OR(B448="",I448&lt;&gt;"Save for a later revision"),"",IF(COUNTIF('Deferred edits'!$K$2:$K$201,A448)&gt;0,"Yes","● Add to Deferred edits"))</f>
        <v/>
      </c>
    </row>
    <row r="449" customFormat="false" ht="15" hidden="false" customHeight="false" outlineLevel="0" collapsed="false">
      <c r="A449" s="46" t="s">
        <v>744</v>
      </c>
      <c r="B449" s="46"/>
      <c r="C449" s="46"/>
      <c r="D449" s="46"/>
      <c r="E449" s="46"/>
      <c r="F449" s="46"/>
      <c r="G449" s="46"/>
      <c r="H449" s="46"/>
      <c r="I449" s="46"/>
      <c r="J449" s="46"/>
      <c r="K449" s="46"/>
      <c r="L449" s="46"/>
      <c r="M449" s="46" t="str">
        <f aca="false">IF(OR(B449="",I449=""),"",IFERROR(INDEX('Comment flow'!$C$40:$C$46,MATCH(I449,'Comment flow'!$A$40:$A$46,0)),""))</f>
        <v/>
      </c>
      <c r="N449" s="46" t="str">
        <f aca="false">IF(B449="","",IF(OR(I449="",I449="Open: needs a decision",L449=""),"Open","Closed"))</f>
        <v/>
      </c>
      <c r="O449" s="46"/>
      <c r="P449" s="46" t="str">
        <f aca="false">IF(OR(B449="",I449&lt;&gt;"Save for a later revision"),"",IF(COUNTIF('Deferred edits'!$K$2:$K$201,A449)&gt;0,"Yes","● Add to Deferred edits"))</f>
        <v/>
      </c>
    </row>
    <row r="450" customFormat="false" ht="15" hidden="false" customHeight="false" outlineLevel="0" collapsed="false">
      <c r="A450" s="46" t="s">
        <v>745</v>
      </c>
      <c r="B450" s="46"/>
      <c r="C450" s="46"/>
      <c r="D450" s="46"/>
      <c r="E450" s="46"/>
      <c r="F450" s="46"/>
      <c r="G450" s="46"/>
      <c r="H450" s="46"/>
      <c r="I450" s="46"/>
      <c r="J450" s="46"/>
      <c r="K450" s="46"/>
      <c r="L450" s="46"/>
      <c r="M450" s="46" t="str">
        <f aca="false">IF(OR(B450="",I450=""),"",IFERROR(INDEX('Comment flow'!$C$40:$C$46,MATCH(I450,'Comment flow'!$A$40:$A$46,0)),""))</f>
        <v/>
      </c>
      <c r="N450" s="46" t="str">
        <f aca="false">IF(B450="","",IF(OR(I450="",I450="Open: needs a decision",L450=""),"Open","Closed"))</f>
        <v/>
      </c>
      <c r="O450" s="46"/>
      <c r="P450" s="46" t="str">
        <f aca="false">IF(OR(B450="",I450&lt;&gt;"Save for a later revision"),"",IF(COUNTIF('Deferred edits'!$K$2:$K$201,A450)&gt;0,"Yes","● Add to Deferred edits"))</f>
        <v/>
      </c>
    </row>
    <row r="451" customFormat="false" ht="15" hidden="false" customHeight="false" outlineLevel="0" collapsed="false">
      <c r="A451" s="46" t="s">
        <v>746</v>
      </c>
      <c r="B451" s="46"/>
      <c r="C451" s="46"/>
      <c r="D451" s="46"/>
      <c r="E451" s="46"/>
      <c r="F451" s="46"/>
      <c r="G451" s="46"/>
      <c r="H451" s="46"/>
      <c r="I451" s="46"/>
      <c r="J451" s="46"/>
      <c r="K451" s="46"/>
      <c r="L451" s="46"/>
      <c r="M451" s="46" t="str">
        <f aca="false">IF(OR(B451="",I451=""),"",IFERROR(INDEX('Comment flow'!$C$40:$C$46,MATCH(I451,'Comment flow'!$A$40:$A$46,0)),""))</f>
        <v/>
      </c>
      <c r="N451" s="46" t="str">
        <f aca="false">IF(B451="","",IF(OR(I451="",I451="Open: needs a decision",L451=""),"Open","Closed"))</f>
        <v/>
      </c>
      <c r="O451" s="46"/>
      <c r="P451" s="46" t="str">
        <f aca="false">IF(OR(B451="",I451&lt;&gt;"Save for a later revision"),"",IF(COUNTIF('Deferred edits'!$K$2:$K$201,A451)&gt;0,"Yes","● Add to Deferred edits"))</f>
        <v/>
      </c>
    </row>
    <row r="452" customFormat="false" ht="15" hidden="false" customHeight="false" outlineLevel="0" collapsed="false">
      <c r="A452" s="46" t="s">
        <v>747</v>
      </c>
      <c r="B452" s="46"/>
      <c r="C452" s="46"/>
      <c r="D452" s="46"/>
      <c r="E452" s="46"/>
      <c r="F452" s="46"/>
      <c r="G452" s="46"/>
      <c r="H452" s="46"/>
      <c r="I452" s="46"/>
      <c r="J452" s="46"/>
      <c r="K452" s="46"/>
      <c r="L452" s="46"/>
      <c r="M452" s="46" t="str">
        <f aca="false">IF(OR(B452="",I452=""),"",IFERROR(INDEX('Comment flow'!$C$40:$C$46,MATCH(I452,'Comment flow'!$A$40:$A$46,0)),""))</f>
        <v/>
      </c>
      <c r="N452" s="46" t="str">
        <f aca="false">IF(B452="","",IF(OR(I452="",I452="Open: needs a decision",L452=""),"Open","Closed"))</f>
        <v/>
      </c>
      <c r="O452" s="46"/>
      <c r="P452" s="46" t="str">
        <f aca="false">IF(OR(B452="",I452&lt;&gt;"Save for a later revision"),"",IF(COUNTIF('Deferred edits'!$K$2:$K$201,A452)&gt;0,"Yes","● Add to Deferred edits"))</f>
        <v/>
      </c>
    </row>
    <row r="453" customFormat="false" ht="15" hidden="false" customHeight="false" outlineLevel="0" collapsed="false">
      <c r="A453" s="46" t="s">
        <v>748</v>
      </c>
      <c r="B453" s="46"/>
      <c r="C453" s="46"/>
      <c r="D453" s="46"/>
      <c r="E453" s="46"/>
      <c r="F453" s="46"/>
      <c r="G453" s="46"/>
      <c r="H453" s="46"/>
      <c r="I453" s="46"/>
      <c r="J453" s="46"/>
      <c r="K453" s="46"/>
      <c r="L453" s="46"/>
      <c r="M453" s="46" t="str">
        <f aca="false">IF(OR(B453="",I453=""),"",IFERROR(INDEX('Comment flow'!$C$40:$C$46,MATCH(I453,'Comment flow'!$A$40:$A$46,0)),""))</f>
        <v/>
      </c>
      <c r="N453" s="46" t="str">
        <f aca="false">IF(B453="","",IF(OR(I453="",I453="Open: needs a decision",L453=""),"Open","Closed"))</f>
        <v/>
      </c>
      <c r="O453" s="46"/>
      <c r="P453" s="46" t="str">
        <f aca="false">IF(OR(B453="",I453&lt;&gt;"Save for a later revision"),"",IF(COUNTIF('Deferred edits'!$K$2:$K$201,A453)&gt;0,"Yes","● Add to Deferred edits"))</f>
        <v/>
      </c>
    </row>
    <row r="454" customFormat="false" ht="15" hidden="false" customHeight="false" outlineLevel="0" collapsed="false">
      <c r="A454" s="46" t="s">
        <v>749</v>
      </c>
      <c r="B454" s="46"/>
      <c r="C454" s="46"/>
      <c r="D454" s="46"/>
      <c r="E454" s="46"/>
      <c r="F454" s="46"/>
      <c r="G454" s="46"/>
      <c r="H454" s="46"/>
      <c r="I454" s="46"/>
      <c r="J454" s="46"/>
      <c r="K454" s="46"/>
      <c r="L454" s="46"/>
      <c r="M454" s="46" t="str">
        <f aca="false">IF(OR(B454="",I454=""),"",IFERROR(INDEX('Comment flow'!$C$40:$C$46,MATCH(I454,'Comment flow'!$A$40:$A$46,0)),""))</f>
        <v/>
      </c>
      <c r="N454" s="46" t="str">
        <f aca="false">IF(B454="","",IF(OR(I454="",I454="Open: needs a decision",L454=""),"Open","Closed"))</f>
        <v/>
      </c>
      <c r="O454" s="46"/>
      <c r="P454" s="46" t="str">
        <f aca="false">IF(OR(B454="",I454&lt;&gt;"Save for a later revision"),"",IF(COUNTIF('Deferred edits'!$K$2:$K$201,A454)&gt;0,"Yes","● Add to Deferred edits"))</f>
        <v/>
      </c>
    </row>
    <row r="455" customFormat="false" ht="15" hidden="false" customHeight="false" outlineLevel="0" collapsed="false">
      <c r="A455" s="46" t="s">
        <v>750</v>
      </c>
      <c r="B455" s="46"/>
      <c r="C455" s="46"/>
      <c r="D455" s="46"/>
      <c r="E455" s="46"/>
      <c r="F455" s="46"/>
      <c r="G455" s="46"/>
      <c r="H455" s="46"/>
      <c r="I455" s="46"/>
      <c r="J455" s="46"/>
      <c r="K455" s="46"/>
      <c r="L455" s="46"/>
      <c r="M455" s="46" t="str">
        <f aca="false">IF(OR(B455="",I455=""),"",IFERROR(INDEX('Comment flow'!$C$40:$C$46,MATCH(I455,'Comment flow'!$A$40:$A$46,0)),""))</f>
        <v/>
      </c>
      <c r="N455" s="46" t="str">
        <f aca="false">IF(B455="","",IF(OR(I455="",I455="Open: needs a decision",L455=""),"Open","Closed"))</f>
        <v/>
      </c>
      <c r="O455" s="46"/>
      <c r="P455" s="46" t="str">
        <f aca="false">IF(OR(B455="",I455&lt;&gt;"Save for a later revision"),"",IF(COUNTIF('Deferred edits'!$K$2:$K$201,A455)&gt;0,"Yes","● Add to Deferred edits"))</f>
        <v/>
      </c>
    </row>
    <row r="456" customFormat="false" ht="15" hidden="false" customHeight="false" outlineLevel="0" collapsed="false">
      <c r="A456" s="46" t="s">
        <v>751</v>
      </c>
      <c r="B456" s="46"/>
      <c r="C456" s="46"/>
      <c r="D456" s="46"/>
      <c r="E456" s="46"/>
      <c r="F456" s="46"/>
      <c r="G456" s="46"/>
      <c r="H456" s="46"/>
      <c r="I456" s="46"/>
      <c r="J456" s="46"/>
      <c r="K456" s="46"/>
      <c r="L456" s="46"/>
      <c r="M456" s="46" t="str">
        <f aca="false">IF(OR(B456="",I456=""),"",IFERROR(INDEX('Comment flow'!$C$40:$C$46,MATCH(I456,'Comment flow'!$A$40:$A$46,0)),""))</f>
        <v/>
      </c>
      <c r="N456" s="46" t="str">
        <f aca="false">IF(B456="","",IF(OR(I456="",I456="Open: needs a decision",L456=""),"Open","Closed"))</f>
        <v/>
      </c>
      <c r="O456" s="46"/>
      <c r="P456" s="46" t="str">
        <f aca="false">IF(OR(B456="",I456&lt;&gt;"Save for a later revision"),"",IF(COUNTIF('Deferred edits'!$K$2:$K$201,A456)&gt;0,"Yes","● Add to Deferred edits"))</f>
        <v/>
      </c>
    </row>
    <row r="457" customFormat="false" ht="15" hidden="false" customHeight="false" outlineLevel="0" collapsed="false">
      <c r="A457" s="46" t="s">
        <v>752</v>
      </c>
      <c r="B457" s="46"/>
      <c r="C457" s="46"/>
      <c r="D457" s="46"/>
      <c r="E457" s="46"/>
      <c r="F457" s="46"/>
      <c r="G457" s="46"/>
      <c r="H457" s="46"/>
      <c r="I457" s="46"/>
      <c r="J457" s="46"/>
      <c r="K457" s="46"/>
      <c r="L457" s="46"/>
      <c r="M457" s="46" t="str">
        <f aca="false">IF(OR(B457="",I457=""),"",IFERROR(INDEX('Comment flow'!$C$40:$C$46,MATCH(I457,'Comment flow'!$A$40:$A$46,0)),""))</f>
        <v/>
      </c>
      <c r="N457" s="46" t="str">
        <f aca="false">IF(B457="","",IF(OR(I457="",I457="Open: needs a decision",L457=""),"Open","Closed"))</f>
        <v/>
      </c>
      <c r="O457" s="46"/>
      <c r="P457" s="46" t="str">
        <f aca="false">IF(OR(B457="",I457&lt;&gt;"Save for a later revision"),"",IF(COUNTIF('Deferred edits'!$K$2:$K$201,A457)&gt;0,"Yes","● Add to Deferred edits"))</f>
        <v/>
      </c>
    </row>
    <row r="458" customFormat="false" ht="15" hidden="false" customHeight="false" outlineLevel="0" collapsed="false">
      <c r="A458" s="46" t="s">
        <v>753</v>
      </c>
      <c r="B458" s="46"/>
      <c r="C458" s="46"/>
      <c r="D458" s="46"/>
      <c r="E458" s="46"/>
      <c r="F458" s="46"/>
      <c r="G458" s="46"/>
      <c r="H458" s="46"/>
      <c r="I458" s="46"/>
      <c r="J458" s="46"/>
      <c r="K458" s="46"/>
      <c r="L458" s="46"/>
      <c r="M458" s="46" t="str">
        <f aca="false">IF(OR(B458="",I458=""),"",IFERROR(INDEX('Comment flow'!$C$40:$C$46,MATCH(I458,'Comment flow'!$A$40:$A$46,0)),""))</f>
        <v/>
      </c>
      <c r="N458" s="46" t="str">
        <f aca="false">IF(B458="","",IF(OR(I458="",I458="Open: needs a decision",L458=""),"Open","Closed"))</f>
        <v/>
      </c>
      <c r="O458" s="46"/>
      <c r="P458" s="46" t="str">
        <f aca="false">IF(OR(B458="",I458&lt;&gt;"Save for a later revision"),"",IF(COUNTIF('Deferred edits'!$K$2:$K$201,A458)&gt;0,"Yes","● Add to Deferred edits"))</f>
        <v/>
      </c>
    </row>
    <row r="459" customFormat="false" ht="15" hidden="false" customHeight="false" outlineLevel="0" collapsed="false">
      <c r="A459" s="46" t="s">
        <v>754</v>
      </c>
      <c r="B459" s="46"/>
      <c r="C459" s="46"/>
      <c r="D459" s="46"/>
      <c r="E459" s="46"/>
      <c r="F459" s="46"/>
      <c r="G459" s="46"/>
      <c r="H459" s="46"/>
      <c r="I459" s="46"/>
      <c r="J459" s="46"/>
      <c r="K459" s="46"/>
      <c r="L459" s="46"/>
      <c r="M459" s="46" t="str">
        <f aca="false">IF(OR(B459="",I459=""),"",IFERROR(INDEX('Comment flow'!$C$40:$C$46,MATCH(I459,'Comment flow'!$A$40:$A$46,0)),""))</f>
        <v/>
      </c>
      <c r="N459" s="46" t="str">
        <f aca="false">IF(B459="","",IF(OR(I459="",I459="Open: needs a decision",L459=""),"Open","Closed"))</f>
        <v/>
      </c>
      <c r="O459" s="46"/>
      <c r="P459" s="46" t="str">
        <f aca="false">IF(OR(B459="",I459&lt;&gt;"Save for a later revision"),"",IF(COUNTIF('Deferred edits'!$K$2:$K$201,A459)&gt;0,"Yes","● Add to Deferred edits"))</f>
        <v/>
      </c>
    </row>
    <row r="460" customFormat="false" ht="15" hidden="false" customHeight="false" outlineLevel="0" collapsed="false">
      <c r="A460" s="46" t="s">
        <v>755</v>
      </c>
      <c r="B460" s="46"/>
      <c r="C460" s="46"/>
      <c r="D460" s="46"/>
      <c r="E460" s="46"/>
      <c r="F460" s="46"/>
      <c r="G460" s="46"/>
      <c r="H460" s="46"/>
      <c r="I460" s="46"/>
      <c r="J460" s="46"/>
      <c r="K460" s="46"/>
      <c r="L460" s="46"/>
      <c r="M460" s="46" t="str">
        <f aca="false">IF(OR(B460="",I460=""),"",IFERROR(INDEX('Comment flow'!$C$40:$C$46,MATCH(I460,'Comment flow'!$A$40:$A$46,0)),""))</f>
        <v/>
      </c>
      <c r="N460" s="46" t="str">
        <f aca="false">IF(B460="","",IF(OR(I460="",I460="Open: needs a decision",L460=""),"Open","Closed"))</f>
        <v/>
      </c>
      <c r="O460" s="46"/>
      <c r="P460" s="46" t="str">
        <f aca="false">IF(OR(B460="",I460&lt;&gt;"Save for a later revision"),"",IF(COUNTIF('Deferred edits'!$K$2:$K$201,A460)&gt;0,"Yes","● Add to Deferred edits"))</f>
        <v/>
      </c>
    </row>
    <row r="461" customFormat="false" ht="15" hidden="false" customHeight="false" outlineLevel="0" collapsed="false">
      <c r="A461" s="46" t="s">
        <v>756</v>
      </c>
      <c r="B461" s="46"/>
      <c r="C461" s="46"/>
      <c r="D461" s="46"/>
      <c r="E461" s="46"/>
      <c r="F461" s="46"/>
      <c r="G461" s="46"/>
      <c r="H461" s="46"/>
      <c r="I461" s="46"/>
      <c r="J461" s="46"/>
      <c r="K461" s="46"/>
      <c r="L461" s="46"/>
      <c r="M461" s="46" t="str">
        <f aca="false">IF(OR(B461="",I461=""),"",IFERROR(INDEX('Comment flow'!$C$40:$C$46,MATCH(I461,'Comment flow'!$A$40:$A$46,0)),""))</f>
        <v/>
      </c>
      <c r="N461" s="46" t="str">
        <f aca="false">IF(B461="","",IF(OR(I461="",I461="Open: needs a decision",L461=""),"Open","Closed"))</f>
        <v/>
      </c>
      <c r="O461" s="46"/>
      <c r="P461" s="46" t="str">
        <f aca="false">IF(OR(B461="",I461&lt;&gt;"Save for a later revision"),"",IF(COUNTIF('Deferred edits'!$K$2:$K$201,A461)&gt;0,"Yes","● Add to Deferred edits"))</f>
        <v/>
      </c>
    </row>
    <row r="462" customFormat="false" ht="15" hidden="false" customHeight="false" outlineLevel="0" collapsed="false">
      <c r="A462" s="46" t="s">
        <v>757</v>
      </c>
      <c r="B462" s="46"/>
      <c r="C462" s="46"/>
      <c r="D462" s="46"/>
      <c r="E462" s="46"/>
      <c r="F462" s="46"/>
      <c r="G462" s="46"/>
      <c r="H462" s="46"/>
      <c r="I462" s="46"/>
      <c r="J462" s="46"/>
      <c r="K462" s="46"/>
      <c r="L462" s="46"/>
      <c r="M462" s="46" t="str">
        <f aca="false">IF(OR(B462="",I462=""),"",IFERROR(INDEX('Comment flow'!$C$40:$C$46,MATCH(I462,'Comment flow'!$A$40:$A$46,0)),""))</f>
        <v/>
      </c>
      <c r="N462" s="46" t="str">
        <f aca="false">IF(B462="","",IF(OR(I462="",I462="Open: needs a decision",L462=""),"Open","Closed"))</f>
        <v/>
      </c>
      <c r="O462" s="46"/>
      <c r="P462" s="46" t="str">
        <f aca="false">IF(OR(B462="",I462&lt;&gt;"Save for a later revision"),"",IF(COUNTIF('Deferred edits'!$K$2:$K$201,A462)&gt;0,"Yes","● Add to Deferred edits"))</f>
        <v/>
      </c>
    </row>
    <row r="463" customFormat="false" ht="15" hidden="false" customHeight="false" outlineLevel="0" collapsed="false">
      <c r="A463" s="46" t="s">
        <v>758</v>
      </c>
      <c r="B463" s="46"/>
      <c r="C463" s="46"/>
      <c r="D463" s="46"/>
      <c r="E463" s="46"/>
      <c r="F463" s="46"/>
      <c r="G463" s="46"/>
      <c r="H463" s="46"/>
      <c r="I463" s="46"/>
      <c r="J463" s="46"/>
      <c r="K463" s="46"/>
      <c r="L463" s="46"/>
      <c r="M463" s="46" t="str">
        <f aca="false">IF(OR(B463="",I463=""),"",IFERROR(INDEX('Comment flow'!$C$40:$C$46,MATCH(I463,'Comment flow'!$A$40:$A$46,0)),""))</f>
        <v/>
      </c>
      <c r="N463" s="46" t="str">
        <f aca="false">IF(B463="","",IF(OR(I463="",I463="Open: needs a decision",L463=""),"Open","Closed"))</f>
        <v/>
      </c>
      <c r="O463" s="46"/>
      <c r="P463" s="46" t="str">
        <f aca="false">IF(OR(B463="",I463&lt;&gt;"Save for a later revision"),"",IF(COUNTIF('Deferred edits'!$K$2:$K$201,A463)&gt;0,"Yes","● Add to Deferred edits"))</f>
        <v/>
      </c>
    </row>
    <row r="464" customFormat="false" ht="15" hidden="false" customHeight="false" outlineLevel="0" collapsed="false">
      <c r="A464" s="46" t="s">
        <v>759</v>
      </c>
      <c r="B464" s="46"/>
      <c r="C464" s="46"/>
      <c r="D464" s="46"/>
      <c r="E464" s="46"/>
      <c r="F464" s="46"/>
      <c r="G464" s="46"/>
      <c r="H464" s="46"/>
      <c r="I464" s="46"/>
      <c r="J464" s="46"/>
      <c r="K464" s="46"/>
      <c r="L464" s="46"/>
      <c r="M464" s="46" t="str">
        <f aca="false">IF(OR(B464="",I464=""),"",IFERROR(INDEX('Comment flow'!$C$40:$C$46,MATCH(I464,'Comment flow'!$A$40:$A$46,0)),""))</f>
        <v/>
      </c>
      <c r="N464" s="46" t="str">
        <f aca="false">IF(B464="","",IF(OR(I464="",I464="Open: needs a decision",L464=""),"Open","Closed"))</f>
        <v/>
      </c>
      <c r="O464" s="46"/>
      <c r="P464" s="46" t="str">
        <f aca="false">IF(OR(B464="",I464&lt;&gt;"Save for a later revision"),"",IF(COUNTIF('Deferred edits'!$K$2:$K$201,A464)&gt;0,"Yes","● Add to Deferred edits"))</f>
        <v/>
      </c>
    </row>
    <row r="465" customFormat="false" ht="15" hidden="false" customHeight="false" outlineLevel="0" collapsed="false">
      <c r="A465" s="46" t="s">
        <v>760</v>
      </c>
      <c r="B465" s="46"/>
      <c r="C465" s="46"/>
      <c r="D465" s="46"/>
      <c r="E465" s="46"/>
      <c r="F465" s="46"/>
      <c r="G465" s="46"/>
      <c r="H465" s="46"/>
      <c r="I465" s="46"/>
      <c r="J465" s="46"/>
      <c r="K465" s="46"/>
      <c r="L465" s="46"/>
      <c r="M465" s="46" t="str">
        <f aca="false">IF(OR(B465="",I465=""),"",IFERROR(INDEX('Comment flow'!$C$40:$C$46,MATCH(I465,'Comment flow'!$A$40:$A$46,0)),""))</f>
        <v/>
      </c>
      <c r="N465" s="46" t="str">
        <f aca="false">IF(B465="","",IF(OR(I465="",I465="Open: needs a decision",L465=""),"Open","Closed"))</f>
        <v/>
      </c>
      <c r="O465" s="46"/>
      <c r="P465" s="46" t="str">
        <f aca="false">IF(OR(B465="",I465&lt;&gt;"Save for a later revision"),"",IF(COUNTIF('Deferred edits'!$K$2:$K$201,A465)&gt;0,"Yes","● Add to Deferred edits"))</f>
        <v/>
      </c>
    </row>
    <row r="466" customFormat="false" ht="15" hidden="false" customHeight="false" outlineLevel="0" collapsed="false">
      <c r="A466" s="46" t="s">
        <v>761</v>
      </c>
      <c r="B466" s="46"/>
      <c r="C466" s="46"/>
      <c r="D466" s="46"/>
      <c r="E466" s="46"/>
      <c r="F466" s="46"/>
      <c r="G466" s="46"/>
      <c r="H466" s="46"/>
      <c r="I466" s="46"/>
      <c r="J466" s="46"/>
      <c r="K466" s="46"/>
      <c r="L466" s="46"/>
      <c r="M466" s="46" t="str">
        <f aca="false">IF(OR(B466="",I466=""),"",IFERROR(INDEX('Comment flow'!$C$40:$C$46,MATCH(I466,'Comment flow'!$A$40:$A$46,0)),""))</f>
        <v/>
      </c>
      <c r="N466" s="46" t="str">
        <f aca="false">IF(B466="","",IF(OR(I466="",I466="Open: needs a decision",L466=""),"Open","Closed"))</f>
        <v/>
      </c>
      <c r="O466" s="46"/>
      <c r="P466" s="46" t="str">
        <f aca="false">IF(OR(B466="",I466&lt;&gt;"Save for a later revision"),"",IF(COUNTIF('Deferred edits'!$K$2:$K$201,A466)&gt;0,"Yes","● Add to Deferred edits"))</f>
        <v/>
      </c>
    </row>
    <row r="467" customFormat="false" ht="15" hidden="false" customHeight="false" outlineLevel="0" collapsed="false">
      <c r="A467" s="46" t="s">
        <v>762</v>
      </c>
      <c r="B467" s="46"/>
      <c r="C467" s="46"/>
      <c r="D467" s="46"/>
      <c r="E467" s="46"/>
      <c r="F467" s="46"/>
      <c r="G467" s="46"/>
      <c r="H467" s="46"/>
      <c r="I467" s="46"/>
      <c r="J467" s="46"/>
      <c r="K467" s="46"/>
      <c r="L467" s="46"/>
      <c r="M467" s="46" t="str">
        <f aca="false">IF(OR(B467="",I467=""),"",IFERROR(INDEX('Comment flow'!$C$40:$C$46,MATCH(I467,'Comment flow'!$A$40:$A$46,0)),""))</f>
        <v/>
      </c>
      <c r="N467" s="46" t="str">
        <f aca="false">IF(B467="","",IF(OR(I467="",I467="Open: needs a decision",L467=""),"Open","Closed"))</f>
        <v/>
      </c>
      <c r="O467" s="46"/>
      <c r="P467" s="46" t="str">
        <f aca="false">IF(OR(B467="",I467&lt;&gt;"Save for a later revision"),"",IF(COUNTIF('Deferred edits'!$K$2:$K$201,A467)&gt;0,"Yes","● Add to Deferred edits"))</f>
        <v/>
      </c>
    </row>
    <row r="468" customFormat="false" ht="15" hidden="false" customHeight="false" outlineLevel="0" collapsed="false">
      <c r="A468" s="46" t="s">
        <v>763</v>
      </c>
      <c r="B468" s="46"/>
      <c r="C468" s="46"/>
      <c r="D468" s="46"/>
      <c r="E468" s="46"/>
      <c r="F468" s="46"/>
      <c r="G468" s="46"/>
      <c r="H468" s="46"/>
      <c r="I468" s="46"/>
      <c r="J468" s="46"/>
      <c r="K468" s="46"/>
      <c r="L468" s="46"/>
      <c r="M468" s="46" t="str">
        <f aca="false">IF(OR(B468="",I468=""),"",IFERROR(INDEX('Comment flow'!$C$40:$C$46,MATCH(I468,'Comment flow'!$A$40:$A$46,0)),""))</f>
        <v/>
      </c>
      <c r="N468" s="46" t="str">
        <f aca="false">IF(B468="","",IF(OR(I468="",I468="Open: needs a decision",L468=""),"Open","Closed"))</f>
        <v/>
      </c>
      <c r="O468" s="46"/>
      <c r="P468" s="46" t="str">
        <f aca="false">IF(OR(B468="",I468&lt;&gt;"Save for a later revision"),"",IF(COUNTIF('Deferred edits'!$K$2:$K$201,A468)&gt;0,"Yes","● Add to Deferred edits"))</f>
        <v/>
      </c>
    </row>
    <row r="469" customFormat="false" ht="15" hidden="false" customHeight="false" outlineLevel="0" collapsed="false">
      <c r="A469" s="46" t="s">
        <v>764</v>
      </c>
      <c r="B469" s="46"/>
      <c r="C469" s="46"/>
      <c r="D469" s="46"/>
      <c r="E469" s="46"/>
      <c r="F469" s="46"/>
      <c r="G469" s="46"/>
      <c r="H469" s="46"/>
      <c r="I469" s="46"/>
      <c r="J469" s="46"/>
      <c r="K469" s="46"/>
      <c r="L469" s="46"/>
      <c r="M469" s="46" t="str">
        <f aca="false">IF(OR(B469="",I469=""),"",IFERROR(INDEX('Comment flow'!$C$40:$C$46,MATCH(I469,'Comment flow'!$A$40:$A$46,0)),""))</f>
        <v/>
      </c>
      <c r="N469" s="46" t="str">
        <f aca="false">IF(B469="","",IF(OR(I469="",I469="Open: needs a decision",L469=""),"Open","Closed"))</f>
        <v/>
      </c>
      <c r="O469" s="46"/>
      <c r="P469" s="46" t="str">
        <f aca="false">IF(OR(B469="",I469&lt;&gt;"Save for a later revision"),"",IF(COUNTIF('Deferred edits'!$K$2:$K$201,A469)&gt;0,"Yes","● Add to Deferred edits"))</f>
        <v/>
      </c>
    </row>
    <row r="470" customFormat="false" ht="15" hidden="false" customHeight="false" outlineLevel="0" collapsed="false">
      <c r="A470" s="46" t="s">
        <v>765</v>
      </c>
      <c r="B470" s="46"/>
      <c r="C470" s="46"/>
      <c r="D470" s="46"/>
      <c r="E470" s="46"/>
      <c r="F470" s="46"/>
      <c r="G470" s="46"/>
      <c r="H470" s="46"/>
      <c r="I470" s="46"/>
      <c r="J470" s="46"/>
      <c r="K470" s="46"/>
      <c r="L470" s="46"/>
      <c r="M470" s="46" t="str">
        <f aca="false">IF(OR(B470="",I470=""),"",IFERROR(INDEX('Comment flow'!$C$40:$C$46,MATCH(I470,'Comment flow'!$A$40:$A$46,0)),""))</f>
        <v/>
      </c>
      <c r="N470" s="46" t="str">
        <f aca="false">IF(B470="","",IF(OR(I470="",I470="Open: needs a decision",L470=""),"Open","Closed"))</f>
        <v/>
      </c>
      <c r="O470" s="46"/>
      <c r="P470" s="46" t="str">
        <f aca="false">IF(OR(B470="",I470&lt;&gt;"Save for a later revision"),"",IF(COUNTIF('Deferred edits'!$K$2:$K$201,A470)&gt;0,"Yes","● Add to Deferred edits"))</f>
        <v/>
      </c>
    </row>
    <row r="471" customFormat="false" ht="15" hidden="false" customHeight="false" outlineLevel="0" collapsed="false">
      <c r="A471" s="46" t="s">
        <v>766</v>
      </c>
      <c r="B471" s="46"/>
      <c r="C471" s="46"/>
      <c r="D471" s="46"/>
      <c r="E471" s="46"/>
      <c r="F471" s="46"/>
      <c r="G471" s="46"/>
      <c r="H471" s="46"/>
      <c r="I471" s="46"/>
      <c r="J471" s="46"/>
      <c r="K471" s="46"/>
      <c r="L471" s="46"/>
      <c r="M471" s="46" t="str">
        <f aca="false">IF(OR(B471="",I471=""),"",IFERROR(INDEX('Comment flow'!$C$40:$C$46,MATCH(I471,'Comment flow'!$A$40:$A$46,0)),""))</f>
        <v/>
      </c>
      <c r="N471" s="46" t="str">
        <f aca="false">IF(B471="","",IF(OR(I471="",I471="Open: needs a decision",L471=""),"Open","Closed"))</f>
        <v/>
      </c>
      <c r="O471" s="46"/>
      <c r="P471" s="46" t="str">
        <f aca="false">IF(OR(B471="",I471&lt;&gt;"Save for a later revision"),"",IF(COUNTIF('Deferred edits'!$K$2:$K$201,A471)&gt;0,"Yes","● Add to Deferred edits"))</f>
        <v/>
      </c>
    </row>
    <row r="472" customFormat="false" ht="15" hidden="false" customHeight="false" outlineLevel="0" collapsed="false">
      <c r="A472" s="46" t="s">
        <v>767</v>
      </c>
      <c r="B472" s="46"/>
      <c r="C472" s="46"/>
      <c r="D472" s="46"/>
      <c r="E472" s="46"/>
      <c r="F472" s="46"/>
      <c r="G472" s="46"/>
      <c r="H472" s="46"/>
      <c r="I472" s="46"/>
      <c r="J472" s="46"/>
      <c r="K472" s="46"/>
      <c r="L472" s="46"/>
      <c r="M472" s="46" t="str">
        <f aca="false">IF(OR(B472="",I472=""),"",IFERROR(INDEX('Comment flow'!$C$40:$C$46,MATCH(I472,'Comment flow'!$A$40:$A$46,0)),""))</f>
        <v/>
      </c>
      <c r="N472" s="46" t="str">
        <f aca="false">IF(B472="","",IF(OR(I472="",I472="Open: needs a decision",L472=""),"Open","Closed"))</f>
        <v/>
      </c>
      <c r="O472" s="46"/>
      <c r="P472" s="46" t="str">
        <f aca="false">IF(OR(B472="",I472&lt;&gt;"Save for a later revision"),"",IF(COUNTIF('Deferred edits'!$K$2:$K$201,A472)&gt;0,"Yes","● Add to Deferred edits"))</f>
        <v/>
      </c>
    </row>
    <row r="473" customFormat="false" ht="15" hidden="false" customHeight="false" outlineLevel="0" collapsed="false">
      <c r="A473" s="46" t="s">
        <v>768</v>
      </c>
      <c r="B473" s="46"/>
      <c r="C473" s="46"/>
      <c r="D473" s="46"/>
      <c r="E473" s="46"/>
      <c r="F473" s="46"/>
      <c r="G473" s="46"/>
      <c r="H473" s="46"/>
      <c r="I473" s="46"/>
      <c r="J473" s="46"/>
      <c r="K473" s="46"/>
      <c r="L473" s="46"/>
      <c r="M473" s="46" t="str">
        <f aca="false">IF(OR(B473="",I473=""),"",IFERROR(INDEX('Comment flow'!$C$40:$C$46,MATCH(I473,'Comment flow'!$A$40:$A$46,0)),""))</f>
        <v/>
      </c>
      <c r="N473" s="46" t="str">
        <f aca="false">IF(B473="","",IF(OR(I473="",I473="Open: needs a decision",L473=""),"Open","Closed"))</f>
        <v/>
      </c>
      <c r="O473" s="46"/>
      <c r="P473" s="46" t="str">
        <f aca="false">IF(OR(B473="",I473&lt;&gt;"Save for a later revision"),"",IF(COUNTIF('Deferred edits'!$K$2:$K$201,A473)&gt;0,"Yes","● Add to Deferred edits"))</f>
        <v/>
      </c>
    </row>
    <row r="474" customFormat="false" ht="15" hidden="false" customHeight="false" outlineLevel="0" collapsed="false">
      <c r="A474" s="46" t="s">
        <v>769</v>
      </c>
      <c r="B474" s="46"/>
      <c r="C474" s="46"/>
      <c r="D474" s="46"/>
      <c r="E474" s="46"/>
      <c r="F474" s="46"/>
      <c r="G474" s="46"/>
      <c r="H474" s="46"/>
      <c r="I474" s="46"/>
      <c r="J474" s="46"/>
      <c r="K474" s="46"/>
      <c r="L474" s="46"/>
      <c r="M474" s="46" t="str">
        <f aca="false">IF(OR(B474="",I474=""),"",IFERROR(INDEX('Comment flow'!$C$40:$C$46,MATCH(I474,'Comment flow'!$A$40:$A$46,0)),""))</f>
        <v/>
      </c>
      <c r="N474" s="46" t="str">
        <f aca="false">IF(B474="","",IF(OR(I474="",I474="Open: needs a decision",L474=""),"Open","Closed"))</f>
        <v/>
      </c>
      <c r="O474" s="46"/>
      <c r="P474" s="46" t="str">
        <f aca="false">IF(OR(B474="",I474&lt;&gt;"Save for a later revision"),"",IF(COUNTIF('Deferred edits'!$K$2:$K$201,A474)&gt;0,"Yes","● Add to Deferred edits"))</f>
        <v/>
      </c>
    </row>
    <row r="475" customFormat="false" ht="15" hidden="false" customHeight="false" outlineLevel="0" collapsed="false">
      <c r="A475" s="46" t="s">
        <v>770</v>
      </c>
      <c r="B475" s="46"/>
      <c r="C475" s="46"/>
      <c r="D475" s="46"/>
      <c r="E475" s="46"/>
      <c r="F475" s="46"/>
      <c r="G475" s="46"/>
      <c r="H475" s="46"/>
      <c r="I475" s="46"/>
      <c r="J475" s="46"/>
      <c r="K475" s="46"/>
      <c r="L475" s="46"/>
      <c r="M475" s="46" t="str">
        <f aca="false">IF(OR(B475="",I475=""),"",IFERROR(INDEX('Comment flow'!$C$40:$C$46,MATCH(I475,'Comment flow'!$A$40:$A$46,0)),""))</f>
        <v/>
      </c>
      <c r="N475" s="46" t="str">
        <f aca="false">IF(B475="","",IF(OR(I475="",I475="Open: needs a decision",L475=""),"Open","Closed"))</f>
        <v/>
      </c>
      <c r="O475" s="46"/>
      <c r="P475" s="46" t="str">
        <f aca="false">IF(OR(B475="",I475&lt;&gt;"Save for a later revision"),"",IF(COUNTIF('Deferred edits'!$K$2:$K$201,A475)&gt;0,"Yes","● Add to Deferred edits"))</f>
        <v/>
      </c>
    </row>
    <row r="476" customFormat="false" ht="15" hidden="false" customHeight="false" outlineLevel="0" collapsed="false">
      <c r="A476" s="46" t="s">
        <v>771</v>
      </c>
      <c r="B476" s="46"/>
      <c r="C476" s="46"/>
      <c r="D476" s="46"/>
      <c r="E476" s="46"/>
      <c r="F476" s="46"/>
      <c r="G476" s="46"/>
      <c r="H476" s="46"/>
      <c r="I476" s="46"/>
      <c r="J476" s="46"/>
      <c r="K476" s="46"/>
      <c r="L476" s="46"/>
      <c r="M476" s="46" t="str">
        <f aca="false">IF(OR(B476="",I476=""),"",IFERROR(INDEX('Comment flow'!$C$40:$C$46,MATCH(I476,'Comment flow'!$A$40:$A$46,0)),""))</f>
        <v/>
      </c>
      <c r="N476" s="46" t="str">
        <f aca="false">IF(B476="","",IF(OR(I476="",I476="Open: needs a decision",L476=""),"Open","Closed"))</f>
        <v/>
      </c>
      <c r="O476" s="46"/>
      <c r="P476" s="46" t="str">
        <f aca="false">IF(OR(B476="",I476&lt;&gt;"Save for a later revision"),"",IF(COUNTIF('Deferred edits'!$K$2:$K$201,A476)&gt;0,"Yes","● Add to Deferred edits"))</f>
        <v/>
      </c>
    </row>
    <row r="477" customFormat="false" ht="15" hidden="false" customHeight="false" outlineLevel="0" collapsed="false">
      <c r="A477" s="46" t="s">
        <v>772</v>
      </c>
      <c r="B477" s="46"/>
      <c r="C477" s="46"/>
      <c r="D477" s="46"/>
      <c r="E477" s="46"/>
      <c r="F477" s="46"/>
      <c r="G477" s="46"/>
      <c r="H477" s="46"/>
      <c r="I477" s="46"/>
      <c r="J477" s="46"/>
      <c r="K477" s="46"/>
      <c r="L477" s="46"/>
      <c r="M477" s="46" t="str">
        <f aca="false">IF(OR(B477="",I477=""),"",IFERROR(INDEX('Comment flow'!$C$40:$C$46,MATCH(I477,'Comment flow'!$A$40:$A$46,0)),""))</f>
        <v/>
      </c>
      <c r="N477" s="46" t="str">
        <f aca="false">IF(B477="","",IF(OR(I477="",I477="Open: needs a decision",L477=""),"Open","Closed"))</f>
        <v/>
      </c>
      <c r="O477" s="46"/>
      <c r="P477" s="46" t="str">
        <f aca="false">IF(OR(B477="",I477&lt;&gt;"Save for a later revision"),"",IF(COUNTIF('Deferred edits'!$K$2:$K$201,A477)&gt;0,"Yes","● Add to Deferred edits"))</f>
        <v/>
      </c>
    </row>
    <row r="478" customFormat="false" ht="15" hidden="false" customHeight="false" outlineLevel="0" collapsed="false">
      <c r="A478" s="46" t="s">
        <v>773</v>
      </c>
      <c r="B478" s="46"/>
      <c r="C478" s="46"/>
      <c r="D478" s="46"/>
      <c r="E478" s="46"/>
      <c r="F478" s="46"/>
      <c r="G478" s="46"/>
      <c r="H478" s="46"/>
      <c r="I478" s="46"/>
      <c r="J478" s="46"/>
      <c r="K478" s="46"/>
      <c r="L478" s="46"/>
      <c r="M478" s="46" t="str">
        <f aca="false">IF(OR(B478="",I478=""),"",IFERROR(INDEX('Comment flow'!$C$40:$C$46,MATCH(I478,'Comment flow'!$A$40:$A$46,0)),""))</f>
        <v/>
      </c>
      <c r="N478" s="46" t="str">
        <f aca="false">IF(B478="","",IF(OR(I478="",I478="Open: needs a decision",L478=""),"Open","Closed"))</f>
        <v/>
      </c>
      <c r="O478" s="46"/>
      <c r="P478" s="46" t="str">
        <f aca="false">IF(OR(B478="",I478&lt;&gt;"Save for a later revision"),"",IF(COUNTIF('Deferred edits'!$K$2:$K$201,A478)&gt;0,"Yes","● Add to Deferred edits"))</f>
        <v/>
      </c>
    </row>
    <row r="479" customFormat="false" ht="15" hidden="false" customHeight="false" outlineLevel="0" collapsed="false">
      <c r="A479" s="46" t="s">
        <v>774</v>
      </c>
      <c r="B479" s="46"/>
      <c r="C479" s="46"/>
      <c r="D479" s="46"/>
      <c r="E479" s="46"/>
      <c r="F479" s="46"/>
      <c r="G479" s="46"/>
      <c r="H479" s="46"/>
      <c r="I479" s="46"/>
      <c r="J479" s="46"/>
      <c r="K479" s="46"/>
      <c r="L479" s="46"/>
      <c r="M479" s="46" t="str">
        <f aca="false">IF(OR(B479="",I479=""),"",IFERROR(INDEX('Comment flow'!$C$40:$C$46,MATCH(I479,'Comment flow'!$A$40:$A$46,0)),""))</f>
        <v/>
      </c>
      <c r="N479" s="46" t="str">
        <f aca="false">IF(B479="","",IF(OR(I479="",I479="Open: needs a decision",L479=""),"Open","Closed"))</f>
        <v/>
      </c>
      <c r="O479" s="46"/>
      <c r="P479" s="46" t="str">
        <f aca="false">IF(OR(B479="",I479&lt;&gt;"Save for a later revision"),"",IF(COUNTIF('Deferred edits'!$K$2:$K$201,A479)&gt;0,"Yes","● Add to Deferred edits"))</f>
        <v/>
      </c>
    </row>
    <row r="480" customFormat="false" ht="15" hidden="false" customHeight="false" outlineLevel="0" collapsed="false">
      <c r="A480" s="46" t="s">
        <v>775</v>
      </c>
      <c r="B480" s="46"/>
      <c r="C480" s="46"/>
      <c r="D480" s="46"/>
      <c r="E480" s="46"/>
      <c r="F480" s="46"/>
      <c r="G480" s="46"/>
      <c r="H480" s="46"/>
      <c r="I480" s="46"/>
      <c r="J480" s="46"/>
      <c r="K480" s="46"/>
      <c r="L480" s="46"/>
      <c r="M480" s="46" t="str">
        <f aca="false">IF(OR(B480="",I480=""),"",IFERROR(INDEX('Comment flow'!$C$40:$C$46,MATCH(I480,'Comment flow'!$A$40:$A$46,0)),""))</f>
        <v/>
      </c>
      <c r="N480" s="46" t="str">
        <f aca="false">IF(B480="","",IF(OR(I480="",I480="Open: needs a decision",L480=""),"Open","Closed"))</f>
        <v/>
      </c>
      <c r="O480" s="46"/>
      <c r="P480" s="46" t="str">
        <f aca="false">IF(OR(B480="",I480&lt;&gt;"Save for a later revision"),"",IF(COUNTIF('Deferred edits'!$K$2:$K$201,A480)&gt;0,"Yes","● Add to Deferred edits"))</f>
        <v/>
      </c>
    </row>
    <row r="481" customFormat="false" ht="15" hidden="false" customHeight="false" outlineLevel="0" collapsed="false">
      <c r="A481" s="46" t="s">
        <v>776</v>
      </c>
      <c r="B481" s="46"/>
      <c r="C481" s="46"/>
      <c r="D481" s="46"/>
      <c r="E481" s="46"/>
      <c r="F481" s="46"/>
      <c r="G481" s="46"/>
      <c r="H481" s="46"/>
      <c r="I481" s="46"/>
      <c r="J481" s="46"/>
      <c r="K481" s="46"/>
      <c r="L481" s="46"/>
      <c r="M481" s="46" t="str">
        <f aca="false">IF(OR(B481="",I481=""),"",IFERROR(INDEX('Comment flow'!$C$40:$C$46,MATCH(I481,'Comment flow'!$A$40:$A$46,0)),""))</f>
        <v/>
      </c>
      <c r="N481" s="46" t="str">
        <f aca="false">IF(B481="","",IF(OR(I481="",I481="Open: needs a decision",L481=""),"Open","Closed"))</f>
        <v/>
      </c>
      <c r="O481" s="46"/>
      <c r="P481" s="46" t="str">
        <f aca="false">IF(OR(B481="",I481&lt;&gt;"Save for a later revision"),"",IF(COUNTIF('Deferred edits'!$K$2:$K$201,A481)&gt;0,"Yes","● Add to Deferred edits"))</f>
        <v/>
      </c>
    </row>
    <row r="482" customFormat="false" ht="15" hidden="false" customHeight="false" outlineLevel="0" collapsed="false">
      <c r="A482" s="46" t="s">
        <v>777</v>
      </c>
      <c r="B482" s="46"/>
      <c r="C482" s="46"/>
      <c r="D482" s="46"/>
      <c r="E482" s="46"/>
      <c r="F482" s="46"/>
      <c r="G482" s="46"/>
      <c r="H482" s="46"/>
      <c r="I482" s="46"/>
      <c r="J482" s="46"/>
      <c r="K482" s="46"/>
      <c r="L482" s="46"/>
      <c r="M482" s="46" t="str">
        <f aca="false">IF(OR(B482="",I482=""),"",IFERROR(INDEX('Comment flow'!$C$40:$C$46,MATCH(I482,'Comment flow'!$A$40:$A$46,0)),""))</f>
        <v/>
      </c>
      <c r="N482" s="46" t="str">
        <f aca="false">IF(B482="","",IF(OR(I482="",I482="Open: needs a decision",L482=""),"Open","Closed"))</f>
        <v/>
      </c>
      <c r="O482" s="46"/>
      <c r="P482" s="46" t="str">
        <f aca="false">IF(OR(B482="",I482&lt;&gt;"Save for a later revision"),"",IF(COUNTIF('Deferred edits'!$K$2:$K$201,A482)&gt;0,"Yes","● Add to Deferred edits"))</f>
        <v/>
      </c>
    </row>
    <row r="483" customFormat="false" ht="15" hidden="false" customHeight="false" outlineLevel="0" collapsed="false">
      <c r="A483" s="46" t="s">
        <v>778</v>
      </c>
      <c r="B483" s="46"/>
      <c r="C483" s="46"/>
      <c r="D483" s="46"/>
      <c r="E483" s="46"/>
      <c r="F483" s="46"/>
      <c r="G483" s="46"/>
      <c r="H483" s="46"/>
      <c r="I483" s="46"/>
      <c r="J483" s="46"/>
      <c r="K483" s="46"/>
      <c r="L483" s="46"/>
      <c r="M483" s="46" t="str">
        <f aca="false">IF(OR(B483="",I483=""),"",IFERROR(INDEX('Comment flow'!$C$40:$C$46,MATCH(I483,'Comment flow'!$A$40:$A$46,0)),""))</f>
        <v/>
      </c>
      <c r="N483" s="46" t="str">
        <f aca="false">IF(B483="","",IF(OR(I483="",I483="Open: needs a decision",L483=""),"Open","Closed"))</f>
        <v/>
      </c>
      <c r="O483" s="46"/>
      <c r="P483" s="46" t="str">
        <f aca="false">IF(OR(B483="",I483&lt;&gt;"Save for a later revision"),"",IF(COUNTIF('Deferred edits'!$K$2:$K$201,A483)&gt;0,"Yes","● Add to Deferred edits"))</f>
        <v/>
      </c>
    </row>
    <row r="484" customFormat="false" ht="15" hidden="false" customHeight="false" outlineLevel="0" collapsed="false">
      <c r="A484" s="46" t="s">
        <v>779</v>
      </c>
      <c r="B484" s="46"/>
      <c r="C484" s="46"/>
      <c r="D484" s="46"/>
      <c r="E484" s="46"/>
      <c r="F484" s="46"/>
      <c r="G484" s="46"/>
      <c r="H484" s="46"/>
      <c r="I484" s="46"/>
      <c r="J484" s="46"/>
      <c r="K484" s="46"/>
      <c r="L484" s="46"/>
      <c r="M484" s="46" t="str">
        <f aca="false">IF(OR(B484="",I484=""),"",IFERROR(INDEX('Comment flow'!$C$40:$C$46,MATCH(I484,'Comment flow'!$A$40:$A$46,0)),""))</f>
        <v/>
      </c>
      <c r="N484" s="46" t="str">
        <f aca="false">IF(B484="","",IF(OR(I484="",I484="Open: needs a decision",L484=""),"Open","Closed"))</f>
        <v/>
      </c>
      <c r="O484" s="46"/>
      <c r="P484" s="46" t="str">
        <f aca="false">IF(OR(B484="",I484&lt;&gt;"Save for a later revision"),"",IF(COUNTIF('Deferred edits'!$K$2:$K$201,A484)&gt;0,"Yes","● Add to Deferred edits"))</f>
        <v/>
      </c>
    </row>
    <row r="485" customFormat="false" ht="15" hidden="false" customHeight="false" outlineLevel="0" collapsed="false">
      <c r="A485" s="46" t="s">
        <v>780</v>
      </c>
      <c r="B485" s="46"/>
      <c r="C485" s="46"/>
      <c r="D485" s="46"/>
      <c r="E485" s="46"/>
      <c r="F485" s="46"/>
      <c r="G485" s="46"/>
      <c r="H485" s="46"/>
      <c r="I485" s="46"/>
      <c r="J485" s="46"/>
      <c r="K485" s="46"/>
      <c r="L485" s="46"/>
      <c r="M485" s="46" t="str">
        <f aca="false">IF(OR(B485="",I485=""),"",IFERROR(INDEX('Comment flow'!$C$40:$C$46,MATCH(I485,'Comment flow'!$A$40:$A$46,0)),""))</f>
        <v/>
      </c>
      <c r="N485" s="46" t="str">
        <f aca="false">IF(B485="","",IF(OR(I485="",I485="Open: needs a decision",L485=""),"Open","Closed"))</f>
        <v/>
      </c>
      <c r="O485" s="46"/>
      <c r="P485" s="46" t="str">
        <f aca="false">IF(OR(B485="",I485&lt;&gt;"Save for a later revision"),"",IF(COUNTIF('Deferred edits'!$K$2:$K$201,A485)&gt;0,"Yes","● Add to Deferred edits"))</f>
        <v/>
      </c>
    </row>
    <row r="486" customFormat="false" ht="15" hidden="false" customHeight="false" outlineLevel="0" collapsed="false">
      <c r="A486" s="46" t="s">
        <v>781</v>
      </c>
      <c r="B486" s="46"/>
      <c r="C486" s="46"/>
      <c r="D486" s="46"/>
      <c r="E486" s="46"/>
      <c r="F486" s="46"/>
      <c r="G486" s="46"/>
      <c r="H486" s="46"/>
      <c r="I486" s="46"/>
      <c r="J486" s="46"/>
      <c r="K486" s="46"/>
      <c r="L486" s="46"/>
      <c r="M486" s="46" t="str">
        <f aca="false">IF(OR(B486="",I486=""),"",IFERROR(INDEX('Comment flow'!$C$40:$C$46,MATCH(I486,'Comment flow'!$A$40:$A$46,0)),""))</f>
        <v/>
      </c>
      <c r="N486" s="46" t="str">
        <f aca="false">IF(B486="","",IF(OR(I486="",I486="Open: needs a decision",L486=""),"Open","Closed"))</f>
        <v/>
      </c>
      <c r="O486" s="46"/>
      <c r="P486" s="46" t="str">
        <f aca="false">IF(OR(B486="",I486&lt;&gt;"Save for a later revision"),"",IF(COUNTIF('Deferred edits'!$K$2:$K$201,A486)&gt;0,"Yes","● Add to Deferred edits"))</f>
        <v/>
      </c>
    </row>
    <row r="487" customFormat="false" ht="15" hidden="false" customHeight="false" outlineLevel="0" collapsed="false">
      <c r="A487" s="46" t="s">
        <v>782</v>
      </c>
      <c r="B487" s="46"/>
      <c r="C487" s="46"/>
      <c r="D487" s="46"/>
      <c r="E487" s="46"/>
      <c r="F487" s="46"/>
      <c r="G487" s="46"/>
      <c r="H487" s="46"/>
      <c r="I487" s="46"/>
      <c r="J487" s="46"/>
      <c r="K487" s="46"/>
      <c r="L487" s="46"/>
      <c r="M487" s="46" t="str">
        <f aca="false">IF(OR(B487="",I487=""),"",IFERROR(INDEX('Comment flow'!$C$40:$C$46,MATCH(I487,'Comment flow'!$A$40:$A$46,0)),""))</f>
        <v/>
      </c>
      <c r="N487" s="46" t="str">
        <f aca="false">IF(B487="","",IF(OR(I487="",I487="Open: needs a decision",L487=""),"Open","Closed"))</f>
        <v/>
      </c>
      <c r="O487" s="46"/>
      <c r="P487" s="46" t="str">
        <f aca="false">IF(OR(B487="",I487&lt;&gt;"Save for a later revision"),"",IF(COUNTIF('Deferred edits'!$K$2:$K$201,A487)&gt;0,"Yes","● Add to Deferred edits"))</f>
        <v/>
      </c>
    </row>
    <row r="488" customFormat="false" ht="15" hidden="false" customHeight="false" outlineLevel="0" collapsed="false">
      <c r="A488" s="46" t="s">
        <v>783</v>
      </c>
      <c r="B488" s="46"/>
      <c r="C488" s="46"/>
      <c r="D488" s="46"/>
      <c r="E488" s="46"/>
      <c r="F488" s="46"/>
      <c r="G488" s="46"/>
      <c r="H488" s="46"/>
      <c r="I488" s="46"/>
      <c r="J488" s="46"/>
      <c r="K488" s="46"/>
      <c r="L488" s="46"/>
      <c r="M488" s="46" t="str">
        <f aca="false">IF(OR(B488="",I488=""),"",IFERROR(INDEX('Comment flow'!$C$40:$C$46,MATCH(I488,'Comment flow'!$A$40:$A$46,0)),""))</f>
        <v/>
      </c>
      <c r="N488" s="46" t="str">
        <f aca="false">IF(B488="","",IF(OR(I488="",I488="Open: needs a decision",L488=""),"Open","Closed"))</f>
        <v/>
      </c>
      <c r="O488" s="46"/>
      <c r="P488" s="46" t="str">
        <f aca="false">IF(OR(B488="",I488&lt;&gt;"Save for a later revision"),"",IF(COUNTIF('Deferred edits'!$K$2:$K$201,A488)&gt;0,"Yes","● Add to Deferred edits"))</f>
        <v/>
      </c>
    </row>
    <row r="489" customFormat="false" ht="15" hidden="false" customHeight="false" outlineLevel="0" collapsed="false">
      <c r="A489" s="46" t="s">
        <v>784</v>
      </c>
      <c r="B489" s="46"/>
      <c r="C489" s="46"/>
      <c r="D489" s="46"/>
      <c r="E489" s="46"/>
      <c r="F489" s="46"/>
      <c r="G489" s="46"/>
      <c r="H489" s="46"/>
      <c r="I489" s="46"/>
      <c r="J489" s="46"/>
      <c r="K489" s="46"/>
      <c r="L489" s="46"/>
      <c r="M489" s="46" t="str">
        <f aca="false">IF(OR(B489="",I489=""),"",IFERROR(INDEX('Comment flow'!$C$40:$C$46,MATCH(I489,'Comment flow'!$A$40:$A$46,0)),""))</f>
        <v/>
      </c>
      <c r="N489" s="46" t="str">
        <f aca="false">IF(B489="","",IF(OR(I489="",I489="Open: needs a decision",L489=""),"Open","Closed"))</f>
        <v/>
      </c>
      <c r="O489" s="46"/>
      <c r="P489" s="46" t="str">
        <f aca="false">IF(OR(B489="",I489&lt;&gt;"Save for a later revision"),"",IF(COUNTIF('Deferred edits'!$K$2:$K$201,A489)&gt;0,"Yes","● Add to Deferred edits"))</f>
        <v/>
      </c>
    </row>
    <row r="490" customFormat="false" ht="15" hidden="false" customHeight="false" outlineLevel="0" collapsed="false">
      <c r="A490" s="46" t="s">
        <v>785</v>
      </c>
      <c r="B490" s="46"/>
      <c r="C490" s="46"/>
      <c r="D490" s="46"/>
      <c r="E490" s="46"/>
      <c r="F490" s="46"/>
      <c r="G490" s="46"/>
      <c r="H490" s="46"/>
      <c r="I490" s="46"/>
      <c r="J490" s="46"/>
      <c r="K490" s="46"/>
      <c r="L490" s="46"/>
      <c r="M490" s="46" t="str">
        <f aca="false">IF(OR(B490="",I490=""),"",IFERROR(INDEX('Comment flow'!$C$40:$C$46,MATCH(I490,'Comment flow'!$A$40:$A$46,0)),""))</f>
        <v/>
      </c>
      <c r="N490" s="46" t="str">
        <f aca="false">IF(B490="","",IF(OR(I490="",I490="Open: needs a decision",L490=""),"Open","Closed"))</f>
        <v/>
      </c>
      <c r="O490" s="46"/>
      <c r="P490" s="46" t="str">
        <f aca="false">IF(OR(B490="",I490&lt;&gt;"Save for a later revision"),"",IF(COUNTIF('Deferred edits'!$K$2:$K$201,A490)&gt;0,"Yes","● Add to Deferred edits"))</f>
        <v/>
      </c>
    </row>
    <row r="491" customFormat="false" ht="15" hidden="false" customHeight="false" outlineLevel="0" collapsed="false">
      <c r="A491" s="46" t="s">
        <v>786</v>
      </c>
      <c r="B491" s="46"/>
      <c r="C491" s="46"/>
      <c r="D491" s="46"/>
      <c r="E491" s="46"/>
      <c r="F491" s="46"/>
      <c r="G491" s="46"/>
      <c r="H491" s="46"/>
      <c r="I491" s="46"/>
      <c r="J491" s="46"/>
      <c r="K491" s="46"/>
      <c r="L491" s="46"/>
      <c r="M491" s="46" t="str">
        <f aca="false">IF(OR(B491="",I491=""),"",IFERROR(INDEX('Comment flow'!$C$40:$C$46,MATCH(I491,'Comment flow'!$A$40:$A$46,0)),""))</f>
        <v/>
      </c>
      <c r="N491" s="46" t="str">
        <f aca="false">IF(B491="","",IF(OR(I491="",I491="Open: needs a decision",L491=""),"Open","Closed"))</f>
        <v/>
      </c>
      <c r="O491" s="46"/>
      <c r="P491" s="46" t="str">
        <f aca="false">IF(OR(B491="",I491&lt;&gt;"Save for a later revision"),"",IF(COUNTIF('Deferred edits'!$K$2:$K$201,A491)&gt;0,"Yes","● Add to Deferred edits"))</f>
        <v/>
      </c>
    </row>
    <row r="492" customFormat="false" ht="15" hidden="false" customHeight="false" outlineLevel="0" collapsed="false">
      <c r="A492" s="46" t="s">
        <v>787</v>
      </c>
      <c r="B492" s="46"/>
      <c r="C492" s="46"/>
      <c r="D492" s="46"/>
      <c r="E492" s="46"/>
      <c r="F492" s="46"/>
      <c r="G492" s="46"/>
      <c r="H492" s="46"/>
      <c r="I492" s="46"/>
      <c r="J492" s="46"/>
      <c r="K492" s="46"/>
      <c r="L492" s="46"/>
      <c r="M492" s="46" t="str">
        <f aca="false">IF(OR(B492="",I492=""),"",IFERROR(INDEX('Comment flow'!$C$40:$C$46,MATCH(I492,'Comment flow'!$A$40:$A$46,0)),""))</f>
        <v/>
      </c>
      <c r="N492" s="46" t="str">
        <f aca="false">IF(B492="","",IF(OR(I492="",I492="Open: needs a decision",L492=""),"Open","Closed"))</f>
        <v/>
      </c>
      <c r="O492" s="46"/>
      <c r="P492" s="46" t="str">
        <f aca="false">IF(OR(B492="",I492&lt;&gt;"Save for a later revision"),"",IF(COUNTIF('Deferred edits'!$K$2:$K$201,A492)&gt;0,"Yes","● Add to Deferred edits"))</f>
        <v/>
      </c>
    </row>
    <row r="493" customFormat="false" ht="15" hidden="false" customHeight="false" outlineLevel="0" collapsed="false">
      <c r="A493" s="46" t="s">
        <v>788</v>
      </c>
      <c r="B493" s="46"/>
      <c r="C493" s="46"/>
      <c r="D493" s="46"/>
      <c r="E493" s="46"/>
      <c r="F493" s="46"/>
      <c r="G493" s="46"/>
      <c r="H493" s="46"/>
      <c r="I493" s="46"/>
      <c r="J493" s="46"/>
      <c r="K493" s="46"/>
      <c r="L493" s="46"/>
      <c r="M493" s="46" t="str">
        <f aca="false">IF(OR(B493="",I493=""),"",IFERROR(INDEX('Comment flow'!$C$40:$C$46,MATCH(I493,'Comment flow'!$A$40:$A$46,0)),""))</f>
        <v/>
      </c>
      <c r="N493" s="46" t="str">
        <f aca="false">IF(B493="","",IF(OR(I493="",I493="Open: needs a decision",L493=""),"Open","Closed"))</f>
        <v/>
      </c>
      <c r="O493" s="46"/>
      <c r="P493" s="46" t="str">
        <f aca="false">IF(OR(B493="",I493&lt;&gt;"Save for a later revision"),"",IF(COUNTIF('Deferred edits'!$K$2:$K$201,A493)&gt;0,"Yes","● Add to Deferred edits"))</f>
        <v/>
      </c>
    </row>
    <row r="494" customFormat="false" ht="15" hidden="false" customHeight="false" outlineLevel="0" collapsed="false">
      <c r="A494" s="46" t="s">
        <v>789</v>
      </c>
      <c r="B494" s="46"/>
      <c r="C494" s="46"/>
      <c r="D494" s="46"/>
      <c r="E494" s="46"/>
      <c r="F494" s="46"/>
      <c r="G494" s="46"/>
      <c r="H494" s="46"/>
      <c r="I494" s="46"/>
      <c r="J494" s="46"/>
      <c r="K494" s="46"/>
      <c r="L494" s="46"/>
      <c r="M494" s="46" t="str">
        <f aca="false">IF(OR(B494="",I494=""),"",IFERROR(INDEX('Comment flow'!$C$40:$C$46,MATCH(I494,'Comment flow'!$A$40:$A$46,0)),""))</f>
        <v/>
      </c>
      <c r="N494" s="46" t="str">
        <f aca="false">IF(B494="","",IF(OR(I494="",I494="Open: needs a decision",L494=""),"Open","Closed"))</f>
        <v/>
      </c>
      <c r="O494" s="46"/>
      <c r="P494" s="46" t="str">
        <f aca="false">IF(OR(B494="",I494&lt;&gt;"Save for a later revision"),"",IF(COUNTIF('Deferred edits'!$K$2:$K$201,A494)&gt;0,"Yes","● Add to Deferred edits"))</f>
        <v/>
      </c>
    </row>
    <row r="495" customFormat="false" ht="15" hidden="false" customHeight="false" outlineLevel="0" collapsed="false">
      <c r="A495" s="46" t="s">
        <v>790</v>
      </c>
      <c r="B495" s="46"/>
      <c r="C495" s="46"/>
      <c r="D495" s="46"/>
      <c r="E495" s="46"/>
      <c r="F495" s="46"/>
      <c r="G495" s="46"/>
      <c r="H495" s="46"/>
      <c r="I495" s="46"/>
      <c r="J495" s="46"/>
      <c r="K495" s="46"/>
      <c r="L495" s="46"/>
      <c r="M495" s="46" t="str">
        <f aca="false">IF(OR(B495="",I495=""),"",IFERROR(INDEX('Comment flow'!$C$40:$C$46,MATCH(I495,'Comment flow'!$A$40:$A$46,0)),""))</f>
        <v/>
      </c>
      <c r="N495" s="46" t="str">
        <f aca="false">IF(B495="","",IF(OR(I495="",I495="Open: needs a decision",L495=""),"Open","Closed"))</f>
        <v/>
      </c>
      <c r="O495" s="46"/>
      <c r="P495" s="46" t="str">
        <f aca="false">IF(OR(B495="",I495&lt;&gt;"Save for a later revision"),"",IF(COUNTIF('Deferred edits'!$K$2:$K$201,A495)&gt;0,"Yes","● Add to Deferred edits"))</f>
        <v/>
      </c>
    </row>
    <row r="496" customFormat="false" ht="15" hidden="false" customHeight="false" outlineLevel="0" collapsed="false">
      <c r="A496" s="46" t="s">
        <v>791</v>
      </c>
      <c r="B496" s="46"/>
      <c r="C496" s="46"/>
      <c r="D496" s="46"/>
      <c r="E496" s="46"/>
      <c r="F496" s="46"/>
      <c r="G496" s="46"/>
      <c r="H496" s="46"/>
      <c r="I496" s="46"/>
      <c r="J496" s="46"/>
      <c r="K496" s="46"/>
      <c r="L496" s="46"/>
      <c r="M496" s="46" t="str">
        <f aca="false">IF(OR(B496="",I496=""),"",IFERROR(INDEX('Comment flow'!$C$40:$C$46,MATCH(I496,'Comment flow'!$A$40:$A$46,0)),""))</f>
        <v/>
      </c>
      <c r="N496" s="46" t="str">
        <f aca="false">IF(B496="","",IF(OR(I496="",I496="Open: needs a decision",L496=""),"Open","Closed"))</f>
        <v/>
      </c>
      <c r="O496" s="46"/>
      <c r="P496" s="46" t="str">
        <f aca="false">IF(OR(B496="",I496&lt;&gt;"Save for a later revision"),"",IF(COUNTIF('Deferred edits'!$K$2:$K$201,A496)&gt;0,"Yes","● Add to Deferred edits"))</f>
        <v/>
      </c>
    </row>
    <row r="497" customFormat="false" ht="15" hidden="false" customHeight="false" outlineLevel="0" collapsed="false">
      <c r="A497" s="46" t="s">
        <v>792</v>
      </c>
      <c r="B497" s="46"/>
      <c r="C497" s="46"/>
      <c r="D497" s="46"/>
      <c r="E497" s="46"/>
      <c r="F497" s="46"/>
      <c r="G497" s="46"/>
      <c r="H497" s="46"/>
      <c r="I497" s="46"/>
      <c r="J497" s="46"/>
      <c r="K497" s="46"/>
      <c r="L497" s="46"/>
      <c r="M497" s="46" t="str">
        <f aca="false">IF(OR(B497="",I497=""),"",IFERROR(INDEX('Comment flow'!$C$40:$C$46,MATCH(I497,'Comment flow'!$A$40:$A$46,0)),""))</f>
        <v/>
      </c>
      <c r="N497" s="46" t="str">
        <f aca="false">IF(B497="","",IF(OR(I497="",I497="Open: needs a decision",L497=""),"Open","Closed"))</f>
        <v/>
      </c>
      <c r="O497" s="46"/>
      <c r="P497" s="46" t="str">
        <f aca="false">IF(OR(B497="",I497&lt;&gt;"Save for a later revision"),"",IF(COUNTIF('Deferred edits'!$K$2:$K$201,A497)&gt;0,"Yes","● Add to Deferred edits"))</f>
        <v/>
      </c>
    </row>
    <row r="498" customFormat="false" ht="15" hidden="false" customHeight="false" outlineLevel="0" collapsed="false">
      <c r="A498" s="46" t="s">
        <v>793</v>
      </c>
      <c r="B498" s="46"/>
      <c r="C498" s="46"/>
      <c r="D498" s="46"/>
      <c r="E498" s="46"/>
      <c r="F498" s="46"/>
      <c r="G498" s="46"/>
      <c r="H498" s="46"/>
      <c r="I498" s="46"/>
      <c r="J498" s="46"/>
      <c r="K498" s="46"/>
      <c r="L498" s="46"/>
      <c r="M498" s="46" t="str">
        <f aca="false">IF(OR(B498="",I498=""),"",IFERROR(INDEX('Comment flow'!$C$40:$C$46,MATCH(I498,'Comment flow'!$A$40:$A$46,0)),""))</f>
        <v/>
      </c>
      <c r="N498" s="46" t="str">
        <f aca="false">IF(B498="","",IF(OR(I498="",I498="Open: needs a decision",L498=""),"Open","Closed"))</f>
        <v/>
      </c>
      <c r="O498" s="46"/>
      <c r="P498" s="46" t="str">
        <f aca="false">IF(OR(B498="",I498&lt;&gt;"Save for a later revision"),"",IF(COUNTIF('Deferred edits'!$K$2:$K$201,A498)&gt;0,"Yes","● Add to Deferred edits"))</f>
        <v/>
      </c>
    </row>
    <row r="499" customFormat="false" ht="15" hidden="false" customHeight="false" outlineLevel="0" collapsed="false">
      <c r="A499" s="46" t="s">
        <v>794</v>
      </c>
      <c r="B499" s="46"/>
      <c r="C499" s="46"/>
      <c r="D499" s="46"/>
      <c r="E499" s="46"/>
      <c r="F499" s="46"/>
      <c r="G499" s="46"/>
      <c r="H499" s="46"/>
      <c r="I499" s="46"/>
      <c r="J499" s="46"/>
      <c r="K499" s="46"/>
      <c r="L499" s="46"/>
      <c r="M499" s="46" t="str">
        <f aca="false">IF(OR(B499="",I499=""),"",IFERROR(INDEX('Comment flow'!$C$40:$C$46,MATCH(I499,'Comment flow'!$A$40:$A$46,0)),""))</f>
        <v/>
      </c>
      <c r="N499" s="46" t="str">
        <f aca="false">IF(B499="","",IF(OR(I499="",I499="Open: needs a decision",L499=""),"Open","Closed"))</f>
        <v/>
      </c>
      <c r="O499" s="46"/>
      <c r="P499" s="46" t="str">
        <f aca="false">IF(OR(B499="",I499&lt;&gt;"Save for a later revision"),"",IF(COUNTIF('Deferred edits'!$K$2:$K$201,A499)&gt;0,"Yes","● Add to Deferred edits"))</f>
        <v/>
      </c>
    </row>
    <row r="500" customFormat="false" ht="15" hidden="false" customHeight="false" outlineLevel="0" collapsed="false">
      <c r="A500" s="46" t="s">
        <v>795</v>
      </c>
      <c r="B500" s="46"/>
      <c r="C500" s="46"/>
      <c r="D500" s="46"/>
      <c r="E500" s="46"/>
      <c r="F500" s="46"/>
      <c r="G500" s="46"/>
      <c r="H500" s="46"/>
      <c r="I500" s="46"/>
      <c r="J500" s="46"/>
      <c r="K500" s="46"/>
      <c r="L500" s="46"/>
      <c r="M500" s="46" t="str">
        <f aca="false">IF(OR(B500="",I500=""),"",IFERROR(INDEX('Comment flow'!$C$40:$C$46,MATCH(I500,'Comment flow'!$A$40:$A$46,0)),""))</f>
        <v/>
      </c>
      <c r="N500" s="46" t="str">
        <f aca="false">IF(B500="","",IF(OR(I500="",I500="Open: needs a decision",L500=""),"Open","Closed"))</f>
        <v/>
      </c>
      <c r="O500" s="46"/>
      <c r="P500" s="46" t="str">
        <f aca="false">IF(OR(B500="",I500&lt;&gt;"Save for a later revision"),"",IF(COUNTIF('Deferred edits'!$K$2:$K$201,A500)&gt;0,"Yes","● Add to Deferred edits"))</f>
        <v/>
      </c>
    </row>
    <row r="501" customFormat="false" ht="15" hidden="false" customHeight="false" outlineLevel="0" collapsed="false">
      <c r="A501" s="46" t="s">
        <v>796</v>
      </c>
      <c r="B501" s="46"/>
      <c r="C501" s="46"/>
      <c r="D501" s="46"/>
      <c r="E501" s="46"/>
      <c r="F501" s="46"/>
      <c r="G501" s="46"/>
      <c r="H501" s="46"/>
      <c r="I501" s="46"/>
      <c r="J501" s="46"/>
      <c r="K501" s="46"/>
      <c r="L501" s="46"/>
      <c r="M501" s="46" t="str">
        <f aca="false">IF(OR(B501="",I501=""),"",IFERROR(INDEX('Comment flow'!$C$40:$C$46,MATCH(I501,'Comment flow'!$A$40:$A$46,0)),""))</f>
        <v/>
      </c>
      <c r="N501" s="46" t="str">
        <f aca="false">IF(B501="","",IF(OR(I501="",I501="Open: needs a decision",L501=""),"Open","Closed"))</f>
        <v/>
      </c>
      <c r="O501" s="46"/>
      <c r="P501" s="46" t="str">
        <f aca="false">IF(OR(B501="",I501&lt;&gt;"Save for a later revision"),"",IF(COUNTIF('Deferred edits'!$K$2:$K$201,A501)&gt;0,"Yes","● Add to Deferred edits"))</f>
        <v/>
      </c>
    </row>
    <row r="502" customFormat="false" ht="15" hidden="false" customHeight="false" outlineLevel="0" collapsed="false">
      <c r="A502" s="46" t="s">
        <v>797</v>
      </c>
      <c r="B502" s="46"/>
      <c r="C502" s="46"/>
      <c r="D502" s="46"/>
      <c r="E502" s="46"/>
      <c r="F502" s="46"/>
      <c r="G502" s="46"/>
      <c r="H502" s="46"/>
      <c r="I502" s="46"/>
      <c r="J502" s="46"/>
      <c r="K502" s="46"/>
      <c r="L502" s="46"/>
      <c r="M502" s="46" t="str">
        <f aca="false">IF(OR(B502="",I502=""),"",IFERROR(INDEX('Comment flow'!$C$40:$C$46,MATCH(I502,'Comment flow'!$A$40:$A$46,0)),""))</f>
        <v/>
      </c>
      <c r="N502" s="46" t="str">
        <f aca="false">IF(B502="","",IF(OR(I502="",I502="Open: needs a decision",L502=""),"Open","Closed"))</f>
        <v/>
      </c>
      <c r="O502" s="46"/>
      <c r="P502" s="46" t="str">
        <f aca="false">IF(OR(B502="",I502&lt;&gt;"Save for a later revision"),"",IF(COUNTIF('Deferred edits'!$K$2:$K$201,A502)&gt;0,"Yes","● Add to Deferred edits"))</f>
        <v/>
      </c>
    </row>
    <row r="503" customFormat="false" ht="15" hidden="false" customHeight="false" outlineLevel="0" collapsed="false">
      <c r="A503" s="46" t="s">
        <v>798</v>
      </c>
      <c r="B503" s="46"/>
      <c r="C503" s="46"/>
      <c r="D503" s="46"/>
      <c r="E503" s="46"/>
      <c r="F503" s="46"/>
      <c r="G503" s="46"/>
      <c r="H503" s="46"/>
      <c r="I503" s="46"/>
      <c r="J503" s="46"/>
      <c r="K503" s="46"/>
      <c r="L503" s="46"/>
      <c r="M503" s="46" t="str">
        <f aca="false">IF(OR(B503="",I503=""),"",IFERROR(INDEX('Comment flow'!$C$40:$C$46,MATCH(I503,'Comment flow'!$A$40:$A$46,0)),""))</f>
        <v/>
      </c>
      <c r="N503" s="46" t="str">
        <f aca="false">IF(B503="","",IF(OR(I503="",I503="Open: needs a decision",L503=""),"Open","Closed"))</f>
        <v/>
      </c>
      <c r="O503" s="46"/>
      <c r="P503" s="46" t="str">
        <f aca="false">IF(OR(B503="",I503&lt;&gt;"Save for a later revision"),"",IF(COUNTIF('Deferred edits'!$K$2:$K$201,A503)&gt;0,"Yes","● Add to Deferred edits"))</f>
        <v/>
      </c>
    </row>
    <row r="504" customFormat="false" ht="15" hidden="false" customHeight="false" outlineLevel="0" collapsed="false">
      <c r="A504" s="46" t="s">
        <v>799</v>
      </c>
      <c r="B504" s="46"/>
      <c r="C504" s="46"/>
      <c r="D504" s="46"/>
      <c r="E504" s="46"/>
      <c r="F504" s="46"/>
      <c r="G504" s="46"/>
      <c r="H504" s="46"/>
      <c r="I504" s="46"/>
      <c r="J504" s="46"/>
      <c r="K504" s="46"/>
      <c r="L504" s="46"/>
      <c r="M504" s="46" t="str">
        <f aca="false">IF(OR(B504="",I504=""),"",IFERROR(INDEX('Comment flow'!$C$40:$C$46,MATCH(I504,'Comment flow'!$A$40:$A$46,0)),""))</f>
        <v/>
      </c>
      <c r="N504" s="46" t="str">
        <f aca="false">IF(B504="","",IF(OR(I504="",I504="Open: needs a decision",L504=""),"Open","Closed"))</f>
        <v/>
      </c>
      <c r="O504" s="46"/>
      <c r="P504" s="46" t="str">
        <f aca="false">IF(OR(B504="",I504&lt;&gt;"Save for a later revision"),"",IF(COUNTIF('Deferred edits'!$K$2:$K$201,A504)&gt;0,"Yes","● Add to Deferred edits"))</f>
        <v/>
      </c>
    </row>
    <row r="505" customFormat="false" ht="15" hidden="false" customHeight="false" outlineLevel="0" collapsed="false">
      <c r="A505" s="46" t="s">
        <v>800</v>
      </c>
      <c r="B505" s="46"/>
      <c r="C505" s="46"/>
      <c r="D505" s="46"/>
      <c r="E505" s="46"/>
      <c r="F505" s="46"/>
      <c r="G505" s="46"/>
      <c r="H505" s="46"/>
      <c r="I505" s="46"/>
      <c r="J505" s="46"/>
      <c r="K505" s="46"/>
      <c r="L505" s="46"/>
      <c r="M505" s="46" t="str">
        <f aca="false">IF(OR(B505="",I505=""),"",IFERROR(INDEX('Comment flow'!$C$40:$C$46,MATCH(I505,'Comment flow'!$A$40:$A$46,0)),""))</f>
        <v/>
      </c>
      <c r="N505" s="46" t="str">
        <f aca="false">IF(B505="","",IF(OR(I505="",I505="Open: needs a decision",L505=""),"Open","Closed"))</f>
        <v/>
      </c>
      <c r="O505" s="46"/>
      <c r="P505" s="46" t="str">
        <f aca="false">IF(OR(B505="",I505&lt;&gt;"Save for a later revision"),"",IF(COUNTIF('Deferred edits'!$K$2:$K$201,A505)&gt;0,"Yes","● Add to Deferred edits"))</f>
        <v/>
      </c>
    </row>
    <row r="506" customFormat="false" ht="15" hidden="false" customHeight="false" outlineLevel="0" collapsed="false">
      <c r="A506" s="46" t="s">
        <v>801</v>
      </c>
      <c r="B506" s="46"/>
      <c r="C506" s="46"/>
      <c r="D506" s="46"/>
      <c r="E506" s="46"/>
      <c r="F506" s="46"/>
      <c r="G506" s="46"/>
      <c r="H506" s="46"/>
      <c r="I506" s="46"/>
      <c r="J506" s="46"/>
      <c r="K506" s="46"/>
      <c r="L506" s="46"/>
      <c r="M506" s="46" t="str">
        <f aca="false">IF(OR(B506="",I506=""),"",IFERROR(INDEX('Comment flow'!$C$40:$C$46,MATCH(I506,'Comment flow'!$A$40:$A$46,0)),""))</f>
        <v/>
      </c>
      <c r="N506" s="46" t="str">
        <f aca="false">IF(B506="","",IF(OR(I506="",I506="Open: needs a decision",L506=""),"Open","Closed"))</f>
        <v/>
      </c>
      <c r="O506" s="46"/>
      <c r="P506" s="46" t="str">
        <f aca="false">IF(OR(B506="",I506&lt;&gt;"Save for a later revision"),"",IF(COUNTIF('Deferred edits'!$K$2:$K$201,A506)&gt;0,"Yes","● Add to Deferred edits"))</f>
        <v/>
      </c>
    </row>
    <row r="507" customFormat="false" ht="15" hidden="false" customHeight="false" outlineLevel="0" collapsed="false">
      <c r="A507" s="46" t="s">
        <v>802</v>
      </c>
      <c r="B507" s="46"/>
      <c r="C507" s="46"/>
      <c r="D507" s="46"/>
      <c r="E507" s="46"/>
      <c r="F507" s="46"/>
      <c r="G507" s="46"/>
      <c r="H507" s="46"/>
      <c r="I507" s="46"/>
      <c r="J507" s="46"/>
      <c r="K507" s="46"/>
      <c r="L507" s="46"/>
      <c r="M507" s="46" t="str">
        <f aca="false">IF(OR(B507="",I507=""),"",IFERROR(INDEX('Comment flow'!$C$40:$C$46,MATCH(I507,'Comment flow'!$A$40:$A$46,0)),""))</f>
        <v/>
      </c>
      <c r="N507" s="46" t="str">
        <f aca="false">IF(B507="","",IF(OR(I507="",I507="Open: needs a decision",L507=""),"Open","Closed"))</f>
        <v/>
      </c>
      <c r="O507" s="46"/>
      <c r="P507" s="46" t="str">
        <f aca="false">IF(OR(B507="",I507&lt;&gt;"Save for a later revision"),"",IF(COUNTIF('Deferred edits'!$K$2:$K$201,A507)&gt;0,"Yes","● Add to Deferred edits"))</f>
        <v/>
      </c>
    </row>
    <row r="508" customFormat="false" ht="15" hidden="false" customHeight="false" outlineLevel="0" collapsed="false">
      <c r="A508" s="46" t="s">
        <v>803</v>
      </c>
      <c r="B508" s="46"/>
      <c r="C508" s="46"/>
      <c r="D508" s="46"/>
      <c r="E508" s="46"/>
      <c r="F508" s="46"/>
      <c r="G508" s="46"/>
      <c r="H508" s="46"/>
      <c r="I508" s="46"/>
      <c r="J508" s="46"/>
      <c r="K508" s="46"/>
      <c r="L508" s="46"/>
      <c r="M508" s="46" t="str">
        <f aca="false">IF(OR(B508="",I508=""),"",IFERROR(INDEX('Comment flow'!$C$40:$C$46,MATCH(I508,'Comment flow'!$A$40:$A$46,0)),""))</f>
        <v/>
      </c>
      <c r="N508" s="46" t="str">
        <f aca="false">IF(B508="","",IF(OR(I508="",I508="Open: needs a decision",L508=""),"Open","Closed"))</f>
        <v/>
      </c>
      <c r="O508" s="46"/>
      <c r="P508" s="46" t="str">
        <f aca="false">IF(OR(B508="",I508&lt;&gt;"Save for a later revision"),"",IF(COUNTIF('Deferred edits'!$K$2:$K$201,A508)&gt;0,"Yes","● Add to Deferred edits"))</f>
        <v/>
      </c>
    </row>
    <row r="509" customFormat="false" ht="15" hidden="false" customHeight="false" outlineLevel="0" collapsed="false">
      <c r="A509" s="46" t="s">
        <v>804</v>
      </c>
      <c r="B509" s="46"/>
      <c r="C509" s="46"/>
      <c r="D509" s="46"/>
      <c r="E509" s="46"/>
      <c r="F509" s="46"/>
      <c r="G509" s="46"/>
      <c r="H509" s="46"/>
      <c r="I509" s="46"/>
      <c r="J509" s="46"/>
      <c r="K509" s="46"/>
      <c r="L509" s="46"/>
      <c r="M509" s="46" t="str">
        <f aca="false">IF(OR(B509="",I509=""),"",IFERROR(INDEX('Comment flow'!$C$40:$C$46,MATCH(I509,'Comment flow'!$A$40:$A$46,0)),""))</f>
        <v/>
      </c>
      <c r="N509" s="46" t="str">
        <f aca="false">IF(B509="","",IF(OR(I509="",I509="Open: needs a decision",L509=""),"Open","Closed"))</f>
        <v/>
      </c>
      <c r="O509" s="46"/>
      <c r="P509" s="46" t="str">
        <f aca="false">IF(OR(B509="",I509&lt;&gt;"Save for a later revision"),"",IF(COUNTIF('Deferred edits'!$K$2:$K$201,A509)&gt;0,"Yes","● Add to Deferred edits"))</f>
        <v/>
      </c>
    </row>
    <row r="510" customFormat="false" ht="15" hidden="false" customHeight="false" outlineLevel="0" collapsed="false">
      <c r="A510" s="46" t="s">
        <v>805</v>
      </c>
      <c r="B510" s="46"/>
      <c r="C510" s="46"/>
      <c r="D510" s="46"/>
      <c r="E510" s="46"/>
      <c r="F510" s="46"/>
      <c r="G510" s="46"/>
      <c r="H510" s="46"/>
      <c r="I510" s="46"/>
      <c r="J510" s="46"/>
      <c r="K510" s="46"/>
      <c r="L510" s="46"/>
      <c r="M510" s="46" t="str">
        <f aca="false">IF(OR(B510="",I510=""),"",IFERROR(INDEX('Comment flow'!$C$40:$C$46,MATCH(I510,'Comment flow'!$A$40:$A$46,0)),""))</f>
        <v/>
      </c>
      <c r="N510" s="46" t="str">
        <f aca="false">IF(B510="","",IF(OR(I510="",I510="Open: needs a decision",L510=""),"Open","Closed"))</f>
        <v/>
      </c>
      <c r="O510" s="46"/>
      <c r="P510" s="46" t="str">
        <f aca="false">IF(OR(B510="",I510&lt;&gt;"Save for a later revision"),"",IF(COUNTIF('Deferred edits'!$K$2:$K$201,A510)&gt;0,"Yes","● Add to Deferred edits"))</f>
        <v/>
      </c>
    </row>
    <row r="511" customFormat="false" ht="15" hidden="false" customHeight="false" outlineLevel="0" collapsed="false">
      <c r="A511" s="46" t="s">
        <v>806</v>
      </c>
      <c r="B511" s="46"/>
      <c r="C511" s="46"/>
      <c r="D511" s="46"/>
      <c r="E511" s="46"/>
      <c r="F511" s="46"/>
      <c r="G511" s="46"/>
      <c r="H511" s="46"/>
      <c r="I511" s="46"/>
      <c r="J511" s="46"/>
      <c r="K511" s="46"/>
      <c r="L511" s="46"/>
      <c r="M511" s="46" t="str">
        <f aca="false">IF(OR(B511="",I511=""),"",IFERROR(INDEX('Comment flow'!$C$40:$C$46,MATCH(I511,'Comment flow'!$A$40:$A$46,0)),""))</f>
        <v/>
      </c>
      <c r="N511" s="46" t="str">
        <f aca="false">IF(B511="","",IF(OR(I511="",I511="Open: needs a decision",L511=""),"Open","Closed"))</f>
        <v/>
      </c>
      <c r="O511" s="46"/>
      <c r="P511" s="46" t="str">
        <f aca="false">IF(OR(B511="",I511&lt;&gt;"Save for a later revision"),"",IF(COUNTIF('Deferred edits'!$K$2:$K$201,A511)&gt;0,"Yes","● Add to Deferred edits"))</f>
        <v/>
      </c>
    </row>
    <row r="512" customFormat="false" ht="15" hidden="false" customHeight="false" outlineLevel="0" collapsed="false">
      <c r="A512" s="46" t="s">
        <v>807</v>
      </c>
      <c r="B512" s="46"/>
      <c r="C512" s="46"/>
      <c r="D512" s="46"/>
      <c r="E512" s="46"/>
      <c r="F512" s="46"/>
      <c r="G512" s="46"/>
      <c r="H512" s="46"/>
      <c r="I512" s="46"/>
      <c r="J512" s="46"/>
      <c r="K512" s="46"/>
      <c r="L512" s="46"/>
      <c r="M512" s="46" t="str">
        <f aca="false">IF(OR(B512="",I512=""),"",IFERROR(INDEX('Comment flow'!$C$40:$C$46,MATCH(I512,'Comment flow'!$A$40:$A$46,0)),""))</f>
        <v/>
      </c>
      <c r="N512" s="46" t="str">
        <f aca="false">IF(B512="","",IF(OR(I512="",I512="Open: needs a decision",L512=""),"Open","Closed"))</f>
        <v/>
      </c>
      <c r="O512" s="46"/>
      <c r="P512" s="46" t="str">
        <f aca="false">IF(OR(B512="",I512&lt;&gt;"Save for a later revision"),"",IF(COUNTIF('Deferred edits'!$K$2:$K$201,A512)&gt;0,"Yes","● Add to Deferred edits"))</f>
        <v/>
      </c>
    </row>
    <row r="513" customFormat="false" ht="15" hidden="false" customHeight="false" outlineLevel="0" collapsed="false">
      <c r="A513" s="46" t="s">
        <v>808</v>
      </c>
      <c r="B513" s="46"/>
      <c r="C513" s="46"/>
      <c r="D513" s="46"/>
      <c r="E513" s="46"/>
      <c r="F513" s="46"/>
      <c r="G513" s="46"/>
      <c r="H513" s="46"/>
      <c r="I513" s="46"/>
      <c r="J513" s="46"/>
      <c r="K513" s="46"/>
      <c r="L513" s="46"/>
      <c r="M513" s="46" t="str">
        <f aca="false">IF(OR(B513="",I513=""),"",IFERROR(INDEX('Comment flow'!$C$40:$C$46,MATCH(I513,'Comment flow'!$A$40:$A$46,0)),""))</f>
        <v/>
      </c>
      <c r="N513" s="46" t="str">
        <f aca="false">IF(B513="","",IF(OR(I513="",I513="Open: needs a decision",L513=""),"Open","Closed"))</f>
        <v/>
      </c>
      <c r="O513" s="46"/>
      <c r="P513" s="46" t="str">
        <f aca="false">IF(OR(B513="",I513&lt;&gt;"Save for a later revision"),"",IF(COUNTIF('Deferred edits'!$K$2:$K$201,A513)&gt;0,"Yes","● Add to Deferred edits"))</f>
        <v/>
      </c>
    </row>
    <row r="514" customFormat="false" ht="15" hidden="false" customHeight="false" outlineLevel="0" collapsed="false">
      <c r="A514" s="46" t="s">
        <v>809</v>
      </c>
      <c r="B514" s="46"/>
      <c r="C514" s="46"/>
      <c r="D514" s="46"/>
      <c r="E514" s="46"/>
      <c r="F514" s="46"/>
      <c r="G514" s="46"/>
      <c r="H514" s="46"/>
      <c r="I514" s="46"/>
      <c r="J514" s="46"/>
      <c r="K514" s="46"/>
      <c r="L514" s="46"/>
      <c r="M514" s="46" t="str">
        <f aca="false">IF(OR(B514="",I514=""),"",IFERROR(INDEX('Comment flow'!$C$40:$C$46,MATCH(I514,'Comment flow'!$A$40:$A$46,0)),""))</f>
        <v/>
      </c>
      <c r="N514" s="46" t="str">
        <f aca="false">IF(B514="","",IF(OR(I514="",I514="Open: needs a decision",L514=""),"Open","Closed"))</f>
        <v/>
      </c>
      <c r="O514" s="46"/>
      <c r="P514" s="46" t="str">
        <f aca="false">IF(OR(B514="",I514&lt;&gt;"Save for a later revision"),"",IF(COUNTIF('Deferred edits'!$K$2:$K$201,A514)&gt;0,"Yes","● Add to Deferred edits"))</f>
        <v/>
      </c>
    </row>
    <row r="515" customFormat="false" ht="15" hidden="false" customHeight="false" outlineLevel="0" collapsed="false">
      <c r="A515" s="46" t="s">
        <v>810</v>
      </c>
      <c r="B515" s="46"/>
      <c r="C515" s="46"/>
      <c r="D515" s="46"/>
      <c r="E515" s="46"/>
      <c r="F515" s="46"/>
      <c r="G515" s="46"/>
      <c r="H515" s="46"/>
      <c r="I515" s="46"/>
      <c r="J515" s="46"/>
      <c r="K515" s="46"/>
      <c r="L515" s="46"/>
      <c r="M515" s="46" t="str">
        <f aca="false">IF(OR(B515="",I515=""),"",IFERROR(INDEX('Comment flow'!$C$40:$C$46,MATCH(I515,'Comment flow'!$A$40:$A$46,0)),""))</f>
        <v/>
      </c>
      <c r="N515" s="46" t="str">
        <f aca="false">IF(B515="","",IF(OR(I515="",I515="Open: needs a decision",L515=""),"Open","Closed"))</f>
        <v/>
      </c>
      <c r="O515" s="46"/>
      <c r="P515" s="46" t="str">
        <f aca="false">IF(OR(B515="",I515&lt;&gt;"Save for a later revision"),"",IF(COUNTIF('Deferred edits'!$K$2:$K$201,A515)&gt;0,"Yes","● Add to Deferred edits"))</f>
        <v/>
      </c>
    </row>
    <row r="516" customFormat="false" ht="15" hidden="false" customHeight="false" outlineLevel="0" collapsed="false">
      <c r="A516" s="46" t="s">
        <v>811</v>
      </c>
      <c r="B516" s="46"/>
      <c r="C516" s="46"/>
      <c r="D516" s="46"/>
      <c r="E516" s="46"/>
      <c r="F516" s="46"/>
      <c r="G516" s="46"/>
      <c r="H516" s="46"/>
      <c r="I516" s="46"/>
      <c r="J516" s="46"/>
      <c r="K516" s="46"/>
      <c r="L516" s="46"/>
      <c r="M516" s="46" t="str">
        <f aca="false">IF(OR(B516="",I516=""),"",IFERROR(INDEX('Comment flow'!$C$40:$C$46,MATCH(I516,'Comment flow'!$A$40:$A$46,0)),""))</f>
        <v/>
      </c>
      <c r="N516" s="46" t="str">
        <f aca="false">IF(B516="","",IF(OR(I516="",I516="Open: needs a decision",L516=""),"Open","Closed"))</f>
        <v/>
      </c>
      <c r="O516" s="46"/>
      <c r="P516" s="46" t="str">
        <f aca="false">IF(OR(B516="",I516&lt;&gt;"Save for a later revision"),"",IF(COUNTIF('Deferred edits'!$K$2:$K$201,A516)&gt;0,"Yes","● Add to Deferred edits"))</f>
        <v/>
      </c>
    </row>
    <row r="517" customFormat="false" ht="15" hidden="false" customHeight="false" outlineLevel="0" collapsed="false">
      <c r="A517" s="46" t="s">
        <v>812</v>
      </c>
      <c r="B517" s="46"/>
      <c r="C517" s="46"/>
      <c r="D517" s="46"/>
      <c r="E517" s="46"/>
      <c r="F517" s="46"/>
      <c r="G517" s="46"/>
      <c r="H517" s="46"/>
      <c r="I517" s="46"/>
      <c r="J517" s="46"/>
      <c r="K517" s="46"/>
      <c r="L517" s="46"/>
      <c r="M517" s="46" t="str">
        <f aca="false">IF(OR(B517="",I517=""),"",IFERROR(INDEX('Comment flow'!$C$40:$C$46,MATCH(I517,'Comment flow'!$A$40:$A$46,0)),""))</f>
        <v/>
      </c>
      <c r="N517" s="46" t="str">
        <f aca="false">IF(B517="","",IF(OR(I517="",I517="Open: needs a decision",L517=""),"Open","Closed"))</f>
        <v/>
      </c>
      <c r="O517" s="46"/>
      <c r="P517" s="46" t="str">
        <f aca="false">IF(OR(B517="",I517&lt;&gt;"Save for a later revision"),"",IF(COUNTIF('Deferred edits'!$K$2:$K$201,A517)&gt;0,"Yes","● Add to Deferred edits"))</f>
        <v/>
      </c>
    </row>
    <row r="518" customFormat="false" ht="15" hidden="false" customHeight="false" outlineLevel="0" collapsed="false">
      <c r="A518" s="46" t="s">
        <v>813</v>
      </c>
      <c r="B518" s="46"/>
      <c r="C518" s="46"/>
      <c r="D518" s="46"/>
      <c r="E518" s="46"/>
      <c r="F518" s="46"/>
      <c r="G518" s="46"/>
      <c r="H518" s="46"/>
      <c r="I518" s="46"/>
      <c r="J518" s="46"/>
      <c r="K518" s="46"/>
      <c r="L518" s="46"/>
      <c r="M518" s="46" t="str">
        <f aca="false">IF(OR(B518="",I518=""),"",IFERROR(INDEX('Comment flow'!$C$40:$C$46,MATCH(I518,'Comment flow'!$A$40:$A$46,0)),""))</f>
        <v/>
      </c>
      <c r="N518" s="46" t="str">
        <f aca="false">IF(B518="","",IF(OR(I518="",I518="Open: needs a decision",L518=""),"Open","Closed"))</f>
        <v/>
      </c>
      <c r="O518" s="46"/>
      <c r="P518" s="46" t="str">
        <f aca="false">IF(OR(B518="",I518&lt;&gt;"Save for a later revision"),"",IF(COUNTIF('Deferred edits'!$K$2:$K$201,A518)&gt;0,"Yes","● Add to Deferred edits"))</f>
        <v/>
      </c>
    </row>
    <row r="519" customFormat="false" ht="15" hidden="false" customHeight="false" outlineLevel="0" collapsed="false">
      <c r="A519" s="46" t="s">
        <v>814</v>
      </c>
      <c r="B519" s="46"/>
      <c r="C519" s="46"/>
      <c r="D519" s="46"/>
      <c r="E519" s="46"/>
      <c r="F519" s="46"/>
      <c r="G519" s="46"/>
      <c r="H519" s="46"/>
      <c r="I519" s="46"/>
      <c r="J519" s="46"/>
      <c r="K519" s="46"/>
      <c r="L519" s="46"/>
      <c r="M519" s="46" t="str">
        <f aca="false">IF(OR(B519="",I519=""),"",IFERROR(INDEX('Comment flow'!$C$40:$C$46,MATCH(I519,'Comment flow'!$A$40:$A$46,0)),""))</f>
        <v/>
      </c>
      <c r="N519" s="46" t="str">
        <f aca="false">IF(B519="","",IF(OR(I519="",I519="Open: needs a decision",L519=""),"Open","Closed"))</f>
        <v/>
      </c>
      <c r="O519" s="46"/>
      <c r="P519" s="46" t="str">
        <f aca="false">IF(OR(B519="",I519&lt;&gt;"Save for a later revision"),"",IF(COUNTIF('Deferred edits'!$K$2:$K$201,A519)&gt;0,"Yes","● Add to Deferred edits"))</f>
        <v/>
      </c>
    </row>
    <row r="520" customFormat="false" ht="15" hidden="false" customHeight="false" outlineLevel="0" collapsed="false">
      <c r="A520" s="46" t="s">
        <v>815</v>
      </c>
      <c r="B520" s="46"/>
      <c r="C520" s="46"/>
      <c r="D520" s="46"/>
      <c r="E520" s="46"/>
      <c r="F520" s="46"/>
      <c r="G520" s="46"/>
      <c r="H520" s="46"/>
      <c r="I520" s="46"/>
      <c r="J520" s="46"/>
      <c r="K520" s="46"/>
      <c r="L520" s="46"/>
      <c r="M520" s="46" t="str">
        <f aca="false">IF(OR(B520="",I520=""),"",IFERROR(INDEX('Comment flow'!$C$40:$C$46,MATCH(I520,'Comment flow'!$A$40:$A$46,0)),""))</f>
        <v/>
      </c>
      <c r="N520" s="46" t="str">
        <f aca="false">IF(B520="","",IF(OR(I520="",I520="Open: needs a decision",L520=""),"Open","Closed"))</f>
        <v/>
      </c>
      <c r="O520" s="46"/>
      <c r="P520" s="46" t="str">
        <f aca="false">IF(OR(B520="",I520&lt;&gt;"Save for a later revision"),"",IF(COUNTIF('Deferred edits'!$K$2:$K$201,A520)&gt;0,"Yes","● Add to Deferred edits"))</f>
        <v/>
      </c>
    </row>
    <row r="521" customFormat="false" ht="15" hidden="false" customHeight="false" outlineLevel="0" collapsed="false">
      <c r="A521" s="46" t="s">
        <v>816</v>
      </c>
      <c r="B521" s="46"/>
      <c r="C521" s="46"/>
      <c r="D521" s="46"/>
      <c r="E521" s="46"/>
      <c r="F521" s="46"/>
      <c r="G521" s="46"/>
      <c r="H521" s="46"/>
      <c r="I521" s="46"/>
      <c r="J521" s="46"/>
      <c r="K521" s="46"/>
      <c r="L521" s="46"/>
      <c r="M521" s="46" t="str">
        <f aca="false">IF(OR(B521="",I521=""),"",IFERROR(INDEX('Comment flow'!$C$40:$C$46,MATCH(I521,'Comment flow'!$A$40:$A$46,0)),""))</f>
        <v/>
      </c>
      <c r="N521" s="46" t="str">
        <f aca="false">IF(B521="","",IF(OR(I521="",I521="Open: needs a decision",L521=""),"Open","Closed"))</f>
        <v/>
      </c>
      <c r="O521" s="46"/>
      <c r="P521" s="46" t="str">
        <f aca="false">IF(OR(B521="",I521&lt;&gt;"Save for a later revision"),"",IF(COUNTIF('Deferred edits'!$K$2:$K$201,A521)&gt;0,"Yes","● Add to Deferred edits"))</f>
        <v/>
      </c>
    </row>
    <row r="522" customFormat="false" ht="15" hidden="false" customHeight="false" outlineLevel="0" collapsed="false">
      <c r="A522" s="46" t="s">
        <v>817</v>
      </c>
      <c r="B522" s="46"/>
      <c r="C522" s="46"/>
      <c r="D522" s="46"/>
      <c r="E522" s="46"/>
      <c r="F522" s="46"/>
      <c r="G522" s="46"/>
      <c r="H522" s="46"/>
      <c r="I522" s="46"/>
      <c r="J522" s="46"/>
      <c r="K522" s="46"/>
      <c r="L522" s="46"/>
      <c r="M522" s="46" t="str">
        <f aca="false">IF(OR(B522="",I522=""),"",IFERROR(INDEX('Comment flow'!$C$40:$C$46,MATCH(I522,'Comment flow'!$A$40:$A$46,0)),""))</f>
        <v/>
      </c>
      <c r="N522" s="46" t="str">
        <f aca="false">IF(B522="","",IF(OR(I522="",I522="Open: needs a decision",L522=""),"Open","Closed"))</f>
        <v/>
      </c>
      <c r="O522" s="46"/>
      <c r="P522" s="46" t="str">
        <f aca="false">IF(OR(B522="",I522&lt;&gt;"Save for a later revision"),"",IF(COUNTIF('Deferred edits'!$K$2:$K$201,A522)&gt;0,"Yes","● Add to Deferred edits"))</f>
        <v/>
      </c>
    </row>
    <row r="523" customFormat="false" ht="15" hidden="false" customHeight="false" outlineLevel="0" collapsed="false">
      <c r="A523" s="46" t="s">
        <v>818</v>
      </c>
      <c r="B523" s="46"/>
      <c r="C523" s="46"/>
      <c r="D523" s="46"/>
      <c r="E523" s="46"/>
      <c r="F523" s="46"/>
      <c r="G523" s="46"/>
      <c r="H523" s="46"/>
      <c r="I523" s="46"/>
      <c r="J523" s="46"/>
      <c r="K523" s="46"/>
      <c r="L523" s="46"/>
      <c r="M523" s="46" t="str">
        <f aca="false">IF(OR(B523="",I523=""),"",IFERROR(INDEX('Comment flow'!$C$40:$C$46,MATCH(I523,'Comment flow'!$A$40:$A$46,0)),""))</f>
        <v/>
      </c>
      <c r="N523" s="46" t="str">
        <f aca="false">IF(B523="","",IF(OR(I523="",I523="Open: needs a decision",L523=""),"Open","Closed"))</f>
        <v/>
      </c>
      <c r="O523" s="46"/>
      <c r="P523" s="46" t="str">
        <f aca="false">IF(OR(B523="",I523&lt;&gt;"Save for a later revision"),"",IF(COUNTIF('Deferred edits'!$K$2:$K$201,A523)&gt;0,"Yes","● Add to Deferred edits"))</f>
        <v/>
      </c>
    </row>
    <row r="524" customFormat="false" ht="15" hidden="false" customHeight="false" outlineLevel="0" collapsed="false">
      <c r="A524" s="46" t="s">
        <v>819</v>
      </c>
      <c r="B524" s="46"/>
      <c r="C524" s="46"/>
      <c r="D524" s="46"/>
      <c r="E524" s="46"/>
      <c r="F524" s="46"/>
      <c r="G524" s="46"/>
      <c r="H524" s="46"/>
      <c r="I524" s="46"/>
      <c r="J524" s="46"/>
      <c r="K524" s="46"/>
      <c r="L524" s="46"/>
      <c r="M524" s="46" t="str">
        <f aca="false">IF(OR(B524="",I524=""),"",IFERROR(INDEX('Comment flow'!$C$40:$C$46,MATCH(I524,'Comment flow'!$A$40:$A$46,0)),""))</f>
        <v/>
      </c>
      <c r="N524" s="46" t="str">
        <f aca="false">IF(B524="","",IF(OR(I524="",I524="Open: needs a decision",L524=""),"Open","Closed"))</f>
        <v/>
      </c>
      <c r="O524" s="46"/>
      <c r="P524" s="46" t="str">
        <f aca="false">IF(OR(B524="",I524&lt;&gt;"Save for a later revision"),"",IF(COUNTIF('Deferred edits'!$K$2:$K$201,A524)&gt;0,"Yes","● Add to Deferred edits"))</f>
        <v/>
      </c>
    </row>
    <row r="525" customFormat="false" ht="15" hidden="false" customHeight="false" outlineLevel="0" collapsed="false">
      <c r="A525" s="46" t="s">
        <v>820</v>
      </c>
      <c r="B525" s="46"/>
      <c r="C525" s="46"/>
      <c r="D525" s="46"/>
      <c r="E525" s="46"/>
      <c r="F525" s="46"/>
      <c r="G525" s="46"/>
      <c r="H525" s="46"/>
      <c r="I525" s="46"/>
      <c r="J525" s="46"/>
      <c r="K525" s="46"/>
      <c r="L525" s="46"/>
      <c r="M525" s="46" t="str">
        <f aca="false">IF(OR(B525="",I525=""),"",IFERROR(INDEX('Comment flow'!$C$40:$C$46,MATCH(I525,'Comment flow'!$A$40:$A$46,0)),""))</f>
        <v/>
      </c>
      <c r="N525" s="46" t="str">
        <f aca="false">IF(B525="","",IF(OR(I525="",I525="Open: needs a decision",L525=""),"Open","Closed"))</f>
        <v/>
      </c>
      <c r="O525" s="46"/>
      <c r="P525" s="46" t="str">
        <f aca="false">IF(OR(B525="",I525&lt;&gt;"Save for a later revision"),"",IF(COUNTIF('Deferred edits'!$K$2:$K$201,A525)&gt;0,"Yes","● Add to Deferred edits"))</f>
        <v/>
      </c>
    </row>
    <row r="526" customFormat="false" ht="15" hidden="false" customHeight="false" outlineLevel="0" collapsed="false">
      <c r="A526" s="46" t="s">
        <v>821</v>
      </c>
      <c r="B526" s="46"/>
      <c r="C526" s="46"/>
      <c r="D526" s="46"/>
      <c r="E526" s="46"/>
      <c r="F526" s="46"/>
      <c r="G526" s="46"/>
      <c r="H526" s="46"/>
      <c r="I526" s="46"/>
      <c r="J526" s="46"/>
      <c r="K526" s="46"/>
      <c r="L526" s="46"/>
      <c r="M526" s="46" t="str">
        <f aca="false">IF(OR(B526="",I526=""),"",IFERROR(INDEX('Comment flow'!$C$40:$C$46,MATCH(I526,'Comment flow'!$A$40:$A$46,0)),""))</f>
        <v/>
      </c>
      <c r="N526" s="46" t="str">
        <f aca="false">IF(B526="","",IF(OR(I526="",I526="Open: needs a decision",L526=""),"Open","Closed"))</f>
        <v/>
      </c>
      <c r="O526" s="46"/>
      <c r="P526" s="46" t="str">
        <f aca="false">IF(OR(B526="",I526&lt;&gt;"Save for a later revision"),"",IF(COUNTIF('Deferred edits'!$K$2:$K$201,A526)&gt;0,"Yes","● Add to Deferred edits"))</f>
        <v/>
      </c>
    </row>
    <row r="527" customFormat="false" ht="15" hidden="false" customHeight="false" outlineLevel="0" collapsed="false">
      <c r="A527" s="46" t="s">
        <v>822</v>
      </c>
      <c r="B527" s="46"/>
      <c r="C527" s="46"/>
      <c r="D527" s="46"/>
      <c r="E527" s="46"/>
      <c r="F527" s="46"/>
      <c r="G527" s="46"/>
      <c r="H527" s="46"/>
      <c r="I527" s="46"/>
      <c r="J527" s="46"/>
      <c r="K527" s="46"/>
      <c r="L527" s="46"/>
      <c r="M527" s="46" t="str">
        <f aca="false">IF(OR(B527="",I527=""),"",IFERROR(INDEX('Comment flow'!$C$40:$C$46,MATCH(I527,'Comment flow'!$A$40:$A$46,0)),""))</f>
        <v/>
      </c>
      <c r="N527" s="46" t="str">
        <f aca="false">IF(B527="","",IF(OR(I527="",I527="Open: needs a decision",L527=""),"Open","Closed"))</f>
        <v/>
      </c>
      <c r="O527" s="46"/>
      <c r="P527" s="46" t="str">
        <f aca="false">IF(OR(B527="",I527&lt;&gt;"Save for a later revision"),"",IF(COUNTIF('Deferred edits'!$K$2:$K$201,A527)&gt;0,"Yes","● Add to Deferred edits"))</f>
        <v/>
      </c>
    </row>
    <row r="528" customFormat="false" ht="15" hidden="false" customHeight="false" outlineLevel="0" collapsed="false">
      <c r="A528" s="46" t="s">
        <v>823</v>
      </c>
      <c r="B528" s="46"/>
      <c r="C528" s="46"/>
      <c r="D528" s="46"/>
      <c r="E528" s="46"/>
      <c r="F528" s="46"/>
      <c r="G528" s="46"/>
      <c r="H528" s="46"/>
      <c r="I528" s="46"/>
      <c r="J528" s="46"/>
      <c r="K528" s="46"/>
      <c r="L528" s="46"/>
      <c r="M528" s="46" t="str">
        <f aca="false">IF(OR(B528="",I528=""),"",IFERROR(INDEX('Comment flow'!$C$40:$C$46,MATCH(I528,'Comment flow'!$A$40:$A$46,0)),""))</f>
        <v/>
      </c>
      <c r="N528" s="46" t="str">
        <f aca="false">IF(B528="","",IF(OR(I528="",I528="Open: needs a decision",L528=""),"Open","Closed"))</f>
        <v/>
      </c>
      <c r="O528" s="46"/>
      <c r="P528" s="46" t="str">
        <f aca="false">IF(OR(B528="",I528&lt;&gt;"Save for a later revision"),"",IF(COUNTIF('Deferred edits'!$K$2:$K$201,A528)&gt;0,"Yes","● Add to Deferred edits"))</f>
        <v/>
      </c>
    </row>
    <row r="529" customFormat="false" ht="15" hidden="false" customHeight="false" outlineLevel="0" collapsed="false">
      <c r="A529" s="46" t="s">
        <v>824</v>
      </c>
      <c r="B529" s="46"/>
      <c r="C529" s="46"/>
      <c r="D529" s="46"/>
      <c r="E529" s="46"/>
      <c r="F529" s="46"/>
      <c r="G529" s="46"/>
      <c r="H529" s="46"/>
      <c r="I529" s="46"/>
      <c r="J529" s="46"/>
      <c r="K529" s="46"/>
      <c r="L529" s="46"/>
      <c r="M529" s="46" t="str">
        <f aca="false">IF(OR(B529="",I529=""),"",IFERROR(INDEX('Comment flow'!$C$40:$C$46,MATCH(I529,'Comment flow'!$A$40:$A$46,0)),""))</f>
        <v/>
      </c>
      <c r="N529" s="46" t="str">
        <f aca="false">IF(B529="","",IF(OR(I529="",I529="Open: needs a decision",L529=""),"Open","Closed"))</f>
        <v/>
      </c>
      <c r="O529" s="46"/>
      <c r="P529" s="46" t="str">
        <f aca="false">IF(OR(B529="",I529&lt;&gt;"Save for a later revision"),"",IF(COUNTIF('Deferred edits'!$K$2:$K$201,A529)&gt;0,"Yes","● Add to Deferred edits"))</f>
        <v/>
      </c>
    </row>
    <row r="530" customFormat="false" ht="15" hidden="false" customHeight="false" outlineLevel="0" collapsed="false">
      <c r="A530" s="46" t="s">
        <v>825</v>
      </c>
      <c r="B530" s="46"/>
      <c r="C530" s="46"/>
      <c r="D530" s="46"/>
      <c r="E530" s="46"/>
      <c r="F530" s="46"/>
      <c r="G530" s="46"/>
      <c r="H530" s="46"/>
      <c r="I530" s="46"/>
      <c r="J530" s="46"/>
      <c r="K530" s="46"/>
      <c r="L530" s="46"/>
      <c r="M530" s="46" t="str">
        <f aca="false">IF(OR(B530="",I530=""),"",IFERROR(INDEX('Comment flow'!$C$40:$C$46,MATCH(I530,'Comment flow'!$A$40:$A$46,0)),""))</f>
        <v/>
      </c>
      <c r="N530" s="46" t="str">
        <f aca="false">IF(B530="","",IF(OR(I530="",I530="Open: needs a decision",L530=""),"Open","Closed"))</f>
        <v/>
      </c>
      <c r="O530" s="46"/>
      <c r="P530" s="46" t="str">
        <f aca="false">IF(OR(B530="",I530&lt;&gt;"Save for a later revision"),"",IF(COUNTIF('Deferred edits'!$K$2:$K$201,A530)&gt;0,"Yes","● Add to Deferred edits"))</f>
        <v/>
      </c>
    </row>
    <row r="531" customFormat="false" ht="15" hidden="false" customHeight="false" outlineLevel="0" collapsed="false">
      <c r="A531" s="46" t="s">
        <v>826</v>
      </c>
      <c r="B531" s="46"/>
      <c r="C531" s="46"/>
      <c r="D531" s="46"/>
      <c r="E531" s="46"/>
      <c r="F531" s="46"/>
      <c r="G531" s="46"/>
      <c r="H531" s="46"/>
      <c r="I531" s="46"/>
      <c r="J531" s="46"/>
      <c r="K531" s="46"/>
      <c r="L531" s="46"/>
      <c r="M531" s="46" t="str">
        <f aca="false">IF(OR(B531="",I531=""),"",IFERROR(INDEX('Comment flow'!$C$40:$C$46,MATCH(I531,'Comment flow'!$A$40:$A$46,0)),""))</f>
        <v/>
      </c>
      <c r="N531" s="46" t="str">
        <f aca="false">IF(B531="","",IF(OR(I531="",I531="Open: needs a decision",L531=""),"Open","Closed"))</f>
        <v/>
      </c>
      <c r="O531" s="46"/>
      <c r="P531" s="46" t="str">
        <f aca="false">IF(OR(B531="",I531&lt;&gt;"Save for a later revision"),"",IF(COUNTIF('Deferred edits'!$K$2:$K$201,A531)&gt;0,"Yes","● Add to Deferred edits"))</f>
        <v/>
      </c>
    </row>
    <row r="532" customFormat="false" ht="15" hidden="false" customHeight="false" outlineLevel="0" collapsed="false">
      <c r="A532" s="46" t="s">
        <v>827</v>
      </c>
      <c r="B532" s="46"/>
      <c r="C532" s="46"/>
      <c r="D532" s="46"/>
      <c r="E532" s="46"/>
      <c r="F532" s="46"/>
      <c r="G532" s="46"/>
      <c r="H532" s="46"/>
      <c r="I532" s="46"/>
      <c r="J532" s="46"/>
      <c r="K532" s="46"/>
      <c r="L532" s="46"/>
      <c r="M532" s="46" t="str">
        <f aca="false">IF(OR(B532="",I532=""),"",IFERROR(INDEX('Comment flow'!$C$40:$C$46,MATCH(I532,'Comment flow'!$A$40:$A$46,0)),""))</f>
        <v/>
      </c>
      <c r="N532" s="46" t="str">
        <f aca="false">IF(B532="","",IF(OR(I532="",I532="Open: needs a decision",L532=""),"Open","Closed"))</f>
        <v/>
      </c>
      <c r="O532" s="46"/>
      <c r="P532" s="46" t="str">
        <f aca="false">IF(OR(B532="",I532&lt;&gt;"Save for a later revision"),"",IF(COUNTIF('Deferred edits'!$K$2:$K$201,A532)&gt;0,"Yes","● Add to Deferred edits"))</f>
        <v/>
      </c>
    </row>
    <row r="533" customFormat="false" ht="15" hidden="false" customHeight="false" outlineLevel="0" collapsed="false">
      <c r="A533" s="46" t="s">
        <v>828</v>
      </c>
      <c r="B533" s="46"/>
      <c r="C533" s="46"/>
      <c r="D533" s="46"/>
      <c r="E533" s="46"/>
      <c r="F533" s="46"/>
      <c r="G533" s="46"/>
      <c r="H533" s="46"/>
      <c r="I533" s="46"/>
      <c r="J533" s="46"/>
      <c r="K533" s="46"/>
      <c r="L533" s="46"/>
      <c r="M533" s="46" t="str">
        <f aca="false">IF(OR(B533="",I533=""),"",IFERROR(INDEX('Comment flow'!$C$40:$C$46,MATCH(I533,'Comment flow'!$A$40:$A$46,0)),""))</f>
        <v/>
      </c>
      <c r="N533" s="46" t="str">
        <f aca="false">IF(B533="","",IF(OR(I533="",I533="Open: needs a decision",L533=""),"Open","Closed"))</f>
        <v/>
      </c>
      <c r="O533" s="46"/>
      <c r="P533" s="46" t="str">
        <f aca="false">IF(OR(B533="",I533&lt;&gt;"Save for a later revision"),"",IF(COUNTIF('Deferred edits'!$K$2:$K$201,A533)&gt;0,"Yes","● Add to Deferred edits"))</f>
        <v/>
      </c>
    </row>
    <row r="534" customFormat="false" ht="15" hidden="false" customHeight="false" outlineLevel="0" collapsed="false">
      <c r="A534" s="46" t="s">
        <v>829</v>
      </c>
      <c r="B534" s="46"/>
      <c r="C534" s="46"/>
      <c r="D534" s="46"/>
      <c r="E534" s="46"/>
      <c r="F534" s="46"/>
      <c r="G534" s="46"/>
      <c r="H534" s="46"/>
      <c r="I534" s="46"/>
      <c r="J534" s="46"/>
      <c r="K534" s="46"/>
      <c r="L534" s="46"/>
      <c r="M534" s="46" t="str">
        <f aca="false">IF(OR(B534="",I534=""),"",IFERROR(INDEX('Comment flow'!$C$40:$C$46,MATCH(I534,'Comment flow'!$A$40:$A$46,0)),""))</f>
        <v/>
      </c>
      <c r="N534" s="46" t="str">
        <f aca="false">IF(B534="","",IF(OR(I534="",I534="Open: needs a decision",L534=""),"Open","Closed"))</f>
        <v/>
      </c>
      <c r="O534" s="46"/>
      <c r="P534" s="46" t="str">
        <f aca="false">IF(OR(B534="",I534&lt;&gt;"Save for a later revision"),"",IF(COUNTIF('Deferred edits'!$K$2:$K$201,A534)&gt;0,"Yes","● Add to Deferred edits"))</f>
        <v/>
      </c>
    </row>
    <row r="535" customFormat="false" ht="15" hidden="false" customHeight="false" outlineLevel="0" collapsed="false">
      <c r="A535" s="46" t="s">
        <v>830</v>
      </c>
      <c r="B535" s="46"/>
      <c r="C535" s="46"/>
      <c r="D535" s="46"/>
      <c r="E535" s="46"/>
      <c r="F535" s="46"/>
      <c r="G535" s="46"/>
      <c r="H535" s="46"/>
      <c r="I535" s="46"/>
      <c r="J535" s="46"/>
      <c r="K535" s="46"/>
      <c r="L535" s="46"/>
      <c r="M535" s="46" t="str">
        <f aca="false">IF(OR(B535="",I535=""),"",IFERROR(INDEX('Comment flow'!$C$40:$C$46,MATCH(I535,'Comment flow'!$A$40:$A$46,0)),""))</f>
        <v/>
      </c>
      <c r="N535" s="46" t="str">
        <f aca="false">IF(B535="","",IF(OR(I535="",I535="Open: needs a decision",L535=""),"Open","Closed"))</f>
        <v/>
      </c>
      <c r="O535" s="46"/>
      <c r="P535" s="46" t="str">
        <f aca="false">IF(OR(B535="",I535&lt;&gt;"Save for a later revision"),"",IF(COUNTIF('Deferred edits'!$K$2:$K$201,A535)&gt;0,"Yes","● Add to Deferred edits"))</f>
        <v/>
      </c>
    </row>
    <row r="536" customFormat="false" ht="15" hidden="false" customHeight="false" outlineLevel="0" collapsed="false">
      <c r="A536" s="46" t="s">
        <v>831</v>
      </c>
      <c r="B536" s="46"/>
      <c r="C536" s="46"/>
      <c r="D536" s="46"/>
      <c r="E536" s="46"/>
      <c r="F536" s="46"/>
      <c r="G536" s="46"/>
      <c r="H536" s="46"/>
      <c r="I536" s="46"/>
      <c r="J536" s="46"/>
      <c r="K536" s="46"/>
      <c r="L536" s="46"/>
      <c r="M536" s="46" t="str">
        <f aca="false">IF(OR(B536="",I536=""),"",IFERROR(INDEX('Comment flow'!$C$40:$C$46,MATCH(I536,'Comment flow'!$A$40:$A$46,0)),""))</f>
        <v/>
      </c>
      <c r="N536" s="46" t="str">
        <f aca="false">IF(B536="","",IF(OR(I536="",I536="Open: needs a decision",L536=""),"Open","Closed"))</f>
        <v/>
      </c>
      <c r="O536" s="46"/>
      <c r="P536" s="46" t="str">
        <f aca="false">IF(OR(B536="",I536&lt;&gt;"Save for a later revision"),"",IF(COUNTIF('Deferred edits'!$K$2:$K$201,A536)&gt;0,"Yes","● Add to Deferred edits"))</f>
        <v/>
      </c>
    </row>
    <row r="537" customFormat="false" ht="15" hidden="false" customHeight="false" outlineLevel="0" collapsed="false">
      <c r="A537" s="46" t="s">
        <v>832</v>
      </c>
      <c r="B537" s="46"/>
      <c r="C537" s="46"/>
      <c r="D537" s="46"/>
      <c r="E537" s="46"/>
      <c r="F537" s="46"/>
      <c r="G537" s="46"/>
      <c r="H537" s="46"/>
      <c r="I537" s="46"/>
      <c r="J537" s="46"/>
      <c r="K537" s="46"/>
      <c r="L537" s="46"/>
      <c r="M537" s="46" t="str">
        <f aca="false">IF(OR(B537="",I537=""),"",IFERROR(INDEX('Comment flow'!$C$40:$C$46,MATCH(I537,'Comment flow'!$A$40:$A$46,0)),""))</f>
        <v/>
      </c>
      <c r="N537" s="46" t="str">
        <f aca="false">IF(B537="","",IF(OR(I537="",I537="Open: needs a decision",L537=""),"Open","Closed"))</f>
        <v/>
      </c>
      <c r="O537" s="46"/>
      <c r="P537" s="46" t="str">
        <f aca="false">IF(OR(B537="",I537&lt;&gt;"Save for a later revision"),"",IF(COUNTIF('Deferred edits'!$K$2:$K$201,A537)&gt;0,"Yes","● Add to Deferred edits"))</f>
        <v/>
      </c>
    </row>
    <row r="538" customFormat="false" ht="15" hidden="false" customHeight="false" outlineLevel="0" collapsed="false">
      <c r="A538" s="46" t="s">
        <v>833</v>
      </c>
      <c r="B538" s="46"/>
      <c r="C538" s="46"/>
      <c r="D538" s="46"/>
      <c r="E538" s="46"/>
      <c r="F538" s="46"/>
      <c r="G538" s="46"/>
      <c r="H538" s="46"/>
      <c r="I538" s="46"/>
      <c r="J538" s="46"/>
      <c r="K538" s="46"/>
      <c r="L538" s="46"/>
      <c r="M538" s="46" t="str">
        <f aca="false">IF(OR(B538="",I538=""),"",IFERROR(INDEX('Comment flow'!$C$40:$C$46,MATCH(I538,'Comment flow'!$A$40:$A$46,0)),""))</f>
        <v/>
      </c>
      <c r="N538" s="46" t="str">
        <f aca="false">IF(B538="","",IF(OR(I538="",I538="Open: needs a decision",L538=""),"Open","Closed"))</f>
        <v/>
      </c>
      <c r="O538" s="46"/>
      <c r="P538" s="46" t="str">
        <f aca="false">IF(OR(B538="",I538&lt;&gt;"Save for a later revision"),"",IF(COUNTIF('Deferred edits'!$K$2:$K$201,A538)&gt;0,"Yes","● Add to Deferred edits"))</f>
        <v/>
      </c>
    </row>
    <row r="539" customFormat="false" ht="15" hidden="false" customHeight="false" outlineLevel="0" collapsed="false">
      <c r="A539" s="46" t="s">
        <v>834</v>
      </c>
      <c r="B539" s="46"/>
      <c r="C539" s="46"/>
      <c r="D539" s="46"/>
      <c r="E539" s="46"/>
      <c r="F539" s="46"/>
      <c r="G539" s="46"/>
      <c r="H539" s="46"/>
      <c r="I539" s="46"/>
      <c r="J539" s="46"/>
      <c r="K539" s="46"/>
      <c r="L539" s="46"/>
      <c r="M539" s="46" t="str">
        <f aca="false">IF(OR(B539="",I539=""),"",IFERROR(INDEX('Comment flow'!$C$40:$C$46,MATCH(I539,'Comment flow'!$A$40:$A$46,0)),""))</f>
        <v/>
      </c>
      <c r="N539" s="46" t="str">
        <f aca="false">IF(B539="","",IF(OR(I539="",I539="Open: needs a decision",L539=""),"Open","Closed"))</f>
        <v/>
      </c>
      <c r="O539" s="46"/>
      <c r="P539" s="46" t="str">
        <f aca="false">IF(OR(B539="",I539&lt;&gt;"Save for a later revision"),"",IF(COUNTIF('Deferred edits'!$K$2:$K$201,A539)&gt;0,"Yes","● Add to Deferred edits"))</f>
        <v/>
      </c>
    </row>
    <row r="540" customFormat="false" ht="15" hidden="false" customHeight="false" outlineLevel="0" collapsed="false">
      <c r="A540" s="46" t="s">
        <v>835</v>
      </c>
      <c r="B540" s="46"/>
      <c r="C540" s="46"/>
      <c r="D540" s="46"/>
      <c r="E540" s="46"/>
      <c r="F540" s="46"/>
      <c r="G540" s="46"/>
      <c r="H540" s="46"/>
      <c r="I540" s="46"/>
      <c r="J540" s="46"/>
      <c r="K540" s="46"/>
      <c r="L540" s="46"/>
      <c r="M540" s="46" t="str">
        <f aca="false">IF(OR(B540="",I540=""),"",IFERROR(INDEX('Comment flow'!$C$40:$C$46,MATCH(I540,'Comment flow'!$A$40:$A$46,0)),""))</f>
        <v/>
      </c>
      <c r="N540" s="46" t="str">
        <f aca="false">IF(B540="","",IF(OR(I540="",I540="Open: needs a decision",L540=""),"Open","Closed"))</f>
        <v/>
      </c>
      <c r="O540" s="46"/>
      <c r="P540" s="46" t="str">
        <f aca="false">IF(OR(B540="",I540&lt;&gt;"Save for a later revision"),"",IF(COUNTIF('Deferred edits'!$K$2:$K$201,A540)&gt;0,"Yes","● Add to Deferred edits"))</f>
        <v/>
      </c>
    </row>
    <row r="541" customFormat="false" ht="15" hidden="false" customHeight="false" outlineLevel="0" collapsed="false">
      <c r="A541" s="46" t="s">
        <v>836</v>
      </c>
      <c r="B541" s="46"/>
      <c r="C541" s="46"/>
      <c r="D541" s="46"/>
      <c r="E541" s="46"/>
      <c r="F541" s="46"/>
      <c r="G541" s="46"/>
      <c r="H541" s="46"/>
      <c r="I541" s="46"/>
      <c r="J541" s="46"/>
      <c r="K541" s="46"/>
      <c r="L541" s="46"/>
      <c r="M541" s="46" t="str">
        <f aca="false">IF(OR(B541="",I541=""),"",IFERROR(INDEX('Comment flow'!$C$40:$C$46,MATCH(I541,'Comment flow'!$A$40:$A$46,0)),""))</f>
        <v/>
      </c>
      <c r="N541" s="46" t="str">
        <f aca="false">IF(B541="","",IF(OR(I541="",I541="Open: needs a decision",L541=""),"Open","Closed"))</f>
        <v/>
      </c>
      <c r="O541" s="46"/>
      <c r="P541" s="46" t="str">
        <f aca="false">IF(OR(B541="",I541&lt;&gt;"Save for a later revision"),"",IF(COUNTIF('Deferred edits'!$K$2:$K$201,A541)&gt;0,"Yes","● Add to Deferred edits"))</f>
        <v/>
      </c>
    </row>
    <row r="542" customFormat="false" ht="15" hidden="false" customHeight="false" outlineLevel="0" collapsed="false">
      <c r="A542" s="46" t="s">
        <v>837</v>
      </c>
      <c r="B542" s="46"/>
      <c r="C542" s="46"/>
      <c r="D542" s="46"/>
      <c r="E542" s="46"/>
      <c r="F542" s="46"/>
      <c r="G542" s="46"/>
      <c r="H542" s="46"/>
      <c r="I542" s="46"/>
      <c r="J542" s="46"/>
      <c r="K542" s="46"/>
      <c r="L542" s="46"/>
      <c r="M542" s="46" t="str">
        <f aca="false">IF(OR(B542="",I542=""),"",IFERROR(INDEX('Comment flow'!$C$40:$C$46,MATCH(I542,'Comment flow'!$A$40:$A$46,0)),""))</f>
        <v/>
      </c>
      <c r="N542" s="46" t="str">
        <f aca="false">IF(B542="","",IF(OR(I542="",I542="Open: needs a decision",L542=""),"Open","Closed"))</f>
        <v/>
      </c>
      <c r="O542" s="46"/>
      <c r="P542" s="46" t="str">
        <f aca="false">IF(OR(B542="",I542&lt;&gt;"Save for a later revision"),"",IF(COUNTIF('Deferred edits'!$K$2:$K$201,A542)&gt;0,"Yes","● Add to Deferred edits"))</f>
        <v/>
      </c>
    </row>
    <row r="543" customFormat="false" ht="15" hidden="false" customHeight="false" outlineLevel="0" collapsed="false">
      <c r="A543" s="46" t="s">
        <v>838</v>
      </c>
      <c r="B543" s="46"/>
      <c r="C543" s="46"/>
      <c r="D543" s="46"/>
      <c r="E543" s="46"/>
      <c r="F543" s="46"/>
      <c r="G543" s="46"/>
      <c r="H543" s="46"/>
      <c r="I543" s="46"/>
      <c r="J543" s="46"/>
      <c r="K543" s="46"/>
      <c r="L543" s="46"/>
      <c r="M543" s="46" t="str">
        <f aca="false">IF(OR(B543="",I543=""),"",IFERROR(INDEX('Comment flow'!$C$40:$C$46,MATCH(I543,'Comment flow'!$A$40:$A$46,0)),""))</f>
        <v/>
      </c>
      <c r="N543" s="46" t="str">
        <f aca="false">IF(B543="","",IF(OR(I543="",I543="Open: needs a decision",L543=""),"Open","Closed"))</f>
        <v/>
      </c>
      <c r="O543" s="46"/>
      <c r="P543" s="46" t="str">
        <f aca="false">IF(OR(B543="",I543&lt;&gt;"Save for a later revision"),"",IF(COUNTIF('Deferred edits'!$K$2:$K$201,A543)&gt;0,"Yes","● Add to Deferred edits"))</f>
        <v/>
      </c>
    </row>
    <row r="544" customFormat="false" ht="15" hidden="false" customHeight="false" outlineLevel="0" collapsed="false">
      <c r="A544" s="46" t="s">
        <v>839</v>
      </c>
      <c r="B544" s="46"/>
      <c r="C544" s="46"/>
      <c r="D544" s="46"/>
      <c r="E544" s="46"/>
      <c r="F544" s="46"/>
      <c r="G544" s="46"/>
      <c r="H544" s="46"/>
      <c r="I544" s="46"/>
      <c r="J544" s="46"/>
      <c r="K544" s="46"/>
      <c r="L544" s="46"/>
      <c r="M544" s="46" t="str">
        <f aca="false">IF(OR(B544="",I544=""),"",IFERROR(INDEX('Comment flow'!$C$40:$C$46,MATCH(I544,'Comment flow'!$A$40:$A$46,0)),""))</f>
        <v/>
      </c>
      <c r="N544" s="46" t="str">
        <f aca="false">IF(B544="","",IF(OR(I544="",I544="Open: needs a decision",L544=""),"Open","Closed"))</f>
        <v/>
      </c>
      <c r="O544" s="46"/>
      <c r="P544" s="46" t="str">
        <f aca="false">IF(OR(B544="",I544&lt;&gt;"Save for a later revision"),"",IF(COUNTIF('Deferred edits'!$K$2:$K$201,A544)&gt;0,"Yes","● Add to Deferred edits"))</f>
        <v/>
      </c>
    </row>
    <row r="545" customFormat="false" ht="15" hidden="false" customHeight="false" outlineLevel="0" collapsed="false">
      <c r="A545" s="46" t="s">
        <v>840</v>
      </c>
      <c r="B545" s="46"/>
      <c r="C545" s="46"/>
      <c r="D545" s="46"/>
      <c r="E545" s="46"/>
      <c r="F545" s="46"/>
      <c r="G545" s="46"/>
      <c r="H545" s="46"/>
      <c r="I545" s="46"/>
      <c r="J545" s="46"/>
      <c r="K545" s="46"/>
      <c r="L545" s="46"/>
      <c r="M545" s="46" t="str">
        <f aca="false">IF(OR(B545="",I545=""),"",IFERROR(INDEX('Comment flow'!$C$40:$C$46,MATCH(I545,'Comment flow'!$A$40:$A$46,0)),""))</f>
        <v/>
      </c>
      <c r="N545" s="46" t="str">
        <f aca="false">IF(B545="","",IF(OR(I545="",I545="Open: needs a decision",L545=""),"Open","Closed"))</f>
        <v/>
      </c>
      <c r="O545" s="46"/>
      <c r="P545" s="46" t="str">
        <f aca="false">IF(OR(B545="",I545&lt;&gt;"Save for a later revision"),"",IF(COUNTIF('Deferred edits'!$K$2:$K$201,A545)&gt;0,"Yes","● Add to Deferred edits"))</f>
        <v/>
      </c>
    </row>
    <row r="546" customFormat="false" ht="15" hidden="false" customHeight="false" outlineLevel="0" collapsed="false">
      <c r="A546" s="46" t="s">
        <v>841</v>
      </c>
      <c r="B546" s="46"/>
      <c r="C546" s="46"/>
      <c r="D546" s="46"/>
      <c r="E546" s="46"/>
      <c r="F546" s="46"/>
      <c r="G546" s="46"/>
      <c r="H546" s="46"/>
      <c r="I546" s="46"/>
      <c r="J546" s="46"/>
      <c r="K546" s="46"/>
      <c r="L546" s="46"/>
      <c r="M546" s="46" t="str">
        <f aca="false">IF(OR(B546="",I546=""),"",IFERROR(INDEX('Comment flow'!$C$40:$C$46,MATCH(I546,'Comment flow'!$A$40:$A$46,0)),""))</f>
        <v/>
      </c>
      <c r="N546" s="46" t="str">
        <f aca="false">IF(B546="","",IF(OR(I546="",I546="Open: needs a decision",L546=""),"Open","Closed"))</f>
        <v/>
      </c>
      <c r="O546" s="46"/>
      <c r="P546" s="46" t="str">
        <f aca="false">IF(OR(B546="",I546&lt;&gt;"Save for a later revision"),"",IF(COUNTIF('Deferred edits'!$K$2:$K$201,A546)&gt;0,"Yes","● Add to Deferred edits"))</f>
        <v/>
      </c>
    </row>
    <row r="547" customFormat="false" ht="15" hidden="false" customHeight="false" outlineLevel="0" collapsed="false">
      <c r="A547" s="46" t="s">
        <v>842</v>
      </c>
      <c r="B547" s="46"/>
      <c r="C547" s="46"/>
      <c r="D547" s="46"/>
      <c r="E547" s="46"/>
      <c r="F547" s="46"/>
      <c r="G547" s="46"/>
      <c r="H547" s="46"/>
      <c r="I547" s="46"/>
      <c r="J547" s="46"/>
      <c r="K547" s="46"/>
      <c r="L547" s="46"/>
      <c r="M547" s="46" t="str">
        <f aca="false">IF(OR(B547="",I547=""),"",IFERROR(INDEX('Comment flow'!$C$40:$C$46,MATCH(I547,'Comment flow'!$A$40:$A$46,0)),""))</f>
        <v/>
      </c>
      <c r="N547" s="46" t="str">
        <f aca="false">IF(B547="","",IF(OR(I547="",I547="Open: needs a decision",L547=""),"Open","Closed"))</f>
        <v/>
      </c>
      <c r="O547" s="46"/>
      <c r="P547" s="46" t="str">
        <f aca="false">IF(OR(B547="",I547&lt;&gt;"Save for a later revision"),"",IF(COUNTIF('Deferred edits'!$K$2:$K$201,A547)&gt;0,"Yes","● Add to Deferred edits"))</f>
        <v/>
      </c>
    </row>
    <row r="548" customFormat="false" ht="15" hidden="false" customHeight="false" outlineLevel="0" collapsed="false">
      <c r="A548" s="46" t="s">
        <v>843</v>
      </c>
      <c r="B548" s="46"/>
      <c r="C548" s="46"/>
      <c r="D548" s="46"/>
      <c r="E548" s="46"/>
      <c r="F548" s="46"/>
      <c r="G548" s="46"/>
      <c r="H548" s="46"/>
      <c r="I548" s="46"/>
      <c r="J548" s="46"/>
      <c r="K548" s="46"/>
      <c r="L548" s="46"/>
      <c r="M548" s="46" t="str">
        <f aca="false">IF(OR(B548="",I548=""),"",IFERROR(INDEX('Comment flow'!$C$40:$C$46,MATCH(I548,'Comment flow'!$A$40:$A$46,0)),""))</f>
        <v/>
      </c>
      <c r="N548" s="46" t="str">
        <f aca="false">IF(B548="","",IF(OR(I548="",I548="Open: needs a decision",L548=""),"Open","Closed"))</f>
        <v/>
      </c>
      <c r="O548" s="46"/>
      <c r="P548" s="46" t="str">
        <f aca="false">IF(OR(B548="",I548&lt;&gt;"Save for a later revision"),"",IF(COUNTIF('Deferred edits'!$K$2:$K$201,A548)&gt;0,"Yes","● Add to Deferred edits"))</f>
        <v/>
      </c>
    </row>
    <row r="549" customFormat="false" ht="15" hidden="false" customHeight="false" outlineLevel="0" collapsed="false">
      <c r="A549" s="46" t="s">
        <v>844</v>
      </c>
      <c r="B549" s="46"/>
      <c r="C549" s="46"/>
      <c r="D549" s="46"/>
      <c r="E549" s="46"/>
      <c r="F549" s="46"/>
      <c r="G549" s="46"/>
      <c r="H549" s="46"/>
      <c r="I549" s="46"/>
      <c r="J549" s="46"/>
      <c r="K549" s="46"/>
      <c r="L549" s="46"/>
      <c r="M549" s="46" t="str">
        <f aca="false">IF(OR(B549="",I549=""),"",IFERROR(INDEX('Comment flow'!$C$40:$C$46,MATCH(I549,'Comment flow'!$A$40:$A$46,0)),""))</f>
        <v/>
      </c>
      <c r="N549" s="46" t="str">
        <f aca="false">IF(B549="","",IF(OR(I549="",I549="Open: needs a decision",L549=""),"Open","Closed"))</f>
        <v/>
      </c>
      <c r="O549" s="46"/>
      <c r="P549" s="46" t="str">
        <f aca="false">IF(OR(B549="",I549&lt;&gt;"Save for a later revision"),"",IF(COUNTIF('Deferred edits'!$K$2:$K$201,A549)&gt;0,"Yes","● Add to Deferred edits"))</f>
        <v/>
      </c>
    </row>
    <row r="550" customFormat="false" ht="15" hidden="false" customHeight="false" outlineLevel="0" collapsed="false">
      <c r="A550" s="46" t="s">
        <v>845</v>
      </c>
      <c r="B550" s="46"/>
      <c r="C550" s="46"/>
      <c r="D550" s="46"/>
      <c r="E550" s="46"/>
      <c r="F550" s="46"/>
      <c r="G550" s="46"/>
      <c r="H550" s="46"/>
      <c r="I550" s="46"/>
      <c r="J550" s="46"/>
      <c r="K550" s="46"/>
      <c r="L550" s="46"/>
      <c r="M550" s="46" t="str">
        <f aca="false">IF(OR(B550="",I550=""),"",IFERROR(INDEX('Comment flow'!$C$40:$C$46,MATCH(I550,'Comment flow'!$A$40:$A$46,0)),""))</f>
        <v/>
      </c>
      <c r="N550" s="46" t="str">
        <f aca="false">IF(B550="","",IF(OR(I550="",I550="Open: needs a decision",L550=""),"Open","Closed"))</f>
        <v/>
      </c>
      <c r="O550" s="46"/>
      <c r="P550" s="46" t="str">
        <f aca="false">IF(OR(B550="",I550&lt;&gt;"Save for a later revision"),"",IF(COUNTIF('Deferred edits'!$K$2:$K$201,A550)&gt;0,"Yes","● Add to Deferred edits"))</f>
        <v/>
      </c>
    </row>
    <row r="551" customFormat="false" ht="15" hidden="false" customHeight="false" outlineLevel="0" collapsed="false">
      <c r="A551" s="46" t="s">
        <v>846</v>
      </c>
      <c r="B551" s="46"/>
      <c r="C551" s="46"/>
      <c r="D551" s="46"/>
      <c r="E551" s="46"/>
      <c r="F551" s="46"/>
      <c r="G551" s="46"/>
      <c r="H551" s="46"/>
      <c r="I551" s="46"/>
      <c r="J551" s="46"/>
      <c r="K551" s="46"/>
      <c r="L551" s="46"/>
      <c r="M551" s="46" t="str">
        <f aca="false">IF(OR(B551="",I551=""),"",IFERROR(INDEX('Comment flow'!$C$40:$C$46,MATCH(I551,'Comment flow'!$A$40:$A$46,0)),""))</f>
        <v/>
      </c>
      <c r="N551" s="46" t="str">
        <f aca="false">IF(B551="","",IF(OR(I551="",I551="Open: needs a decision",L551=""),"Open","Closed"))</f>
        <v/>
      </c>
      <c r="O551" s="46"/>
      <c r="P551" s="46" t="str">
        <f aca="false">IF(OR(B551="",I551&lt;&gt;"Save for a later revision"),"",IF(COUNTIF('Deferred edits'!$K$2:$K$201,A551)&gt;0,"Yes","● Add to Deferred edits"))</f>
        <v/>
      </c>
    </row>
    <row r="552" customFormat="false" ht="15" hidden="false" customHeight="false" outlineLevel="0" collapsed="false">
      <c r="A552" s="46" t="s">
        <v>847</v>
      </c>
      <c r="B552" s="46"/>
      <c r="C552" s="46"/>
      <c r="D552" s="46"/>
      <c r="E552" s="46"/>
      <c r="F552" s="46"/>
      <c r="G552" s="46"/>
      <c r="H552" s="46"/>
      <c r="I552" s="46"/>
      <c r="J552" s="46"/>
      <c r="K552" s="46"/>
      <c r="L552" s="46"/>
      <c r="M552" s="46" t="str">
        <f aca="false">IF(OR(B552="",I552=""),"",IFERROR(INDEX('Comment flow'!$C$40:$C$46,MATCH(I552,'Comment flow'!$A$40:$A$46,0)),""))</f>
        <v/>
      </c>
      <c r="N552" s="46" t="str">
        <f aca="false">IF(B552="","",IF(OR(I552="",I552="Open: needs a decision",L552=""),"Open","Closed"))</f>
        <v/>
      </c>
      <c r="O552" s="46"/>
      <c r="P552" s="46" t="str">
        <f aca="false">IF(OR(B552="",I552&lt;&gt;"Save for a later revision"),"",IF(COUNTIF('Deferred edits'!$K$2:$K$201,A552)&gt;0,"Yes","● Add to Deferred edits"))</f>
        <v/>
      </c>
    </row>
    <row r="553" customFormat="false" ht="15" hidden="false" customHeight="false" outlineLevel="0" collapsed="false">
      <c r="A553" s="46" t="s">
        <v>848</v>
      </c>
      <c r="B553" s="46"/>
      <c r="C553" s="46"/>
      <c r="D553" s="46"/>
      <c r="E553" s="46"/>
      <c r="F553" s="46"/>
      <c r="G553" s="46"/>
      <c r="H553" s="46"/>
      <c r="I553" s="46"/>
      <c r="J553" s="46"/>
      <c r="K553" s="46"/>
      <c r="L553" s="46"/>
      <c r="M553" s="46" t="str">
        <f aca="false">IF(OR(B553="",I553=""),"",IFERROR(INDEX('Comment flow'!$C$40:$C$46,MATCH(I553,'Comment flow'!$A$40:$A$46,0)),""))</f>
        <v/>
      </c>
      <c r="N553" s="46" t="str">
        <f aca="false">IF(B553="","",IF(OR(I553="",I553="Open: needs a decision",L553=""),"Open","Closed"))</f>
        <v/>
      </c>
      <c r="O553" s="46"/>
      <c r="P553" s="46" t="str">
        <f aca="false">IF(OR(B553="",I553&lt;&gt;"Save for a later revision"),"",IF(COUNTIF('Deferred edits'!$K$2:$K$201,A553)&gt;0,"Yes","● Add to Deferred edits"))</f>
        <v/>
      </c>
    </row>
    <row r="554" customFormat="false" ht="15" hidden="false" customHeight="false" outlineLevel="0" collapsed="false">
      <c r="A554" s="46" t="s">
        <v>849</v>
      </c>
      <c r="B554" s="46"/>
      <c r="C554" s="46"/>
      <c r="D554" s="46"/>
      <c r="E554" s="46"/>
      <c r="F554" s="46"/>
      <c r="G554" s="46"/>
      <c r="H554" s="46"/>
      <c r="I554" s="46"/>
      <c r="J554" s="46"/>
      <c r="K554" s="46"/>
      <c r="L554" s="46"/>
      <c r="M554" s="46" t="str">
        <f aca="false">IF(OR(B554="",I554=""),"",IFERROR(INDEX('Comment flow'!$C$40:$C$46,MATCH(I554,'Comment flow'!$A$40:$A$46,0)),""))</f>
        <v/>
      </c>
      <c r="N554" s="46" t="str">
        <f aca="false">IF(B554="","",IF(OR(I554="",I554="Open: needs a decision",L554=""),"Open","Closed"))</f>
        <v/>
      </c>
      <c r="O554" s="46"/>
      <c r="P554" s="46" t="str">
        <f aca="false">IF(OR(B554="",I554&lt;&gt;"Save for a later revision"),"",IF(COUNTIF('Deferred edits'!$K$2:$K$201,A554)&gt;0,"Yes","● Add to Deferred edits"))</f>
        <v/>
      </c>
    </row>
    <row r="555" customFormat="false" ht="15" hidden="false" customHeight="false" outlineLevel="0" collapsed="false">
      <c r="A555" s="46" t="s">
        <v>850</v>
      </c>
      <c r="B555" s="46"/>
      <c r="C555" s="46"/>
      <c r="D555" s="46"/>
      <c r="E555" s="46"/>
      <c r="F555" s="46"/>
      <c r="G555" s="46"/>
      <c r="H555" s="46"/>
      <c r="I555" s="46"/>
      <c r="J555" s="46"/>
      <c r="K555" s="46"/>
      <c r="L555" s="46"/>
      <c r="M555" s="46" t="str">
        <f aca="false">IF(OR(B555="",I555=""),"",IFERROR(INDEX('Comment flow'!$C$40:$C$46,MATCH(I555,'Comment flow'!$A$40:$A$46,0)),""))</f>
        <v/>
      </c>
      <c r="N555" s="46" t="str">
        <f aca="false">IF(B555="","",IF(OR(I555="",I555="Open: needs a decision",L555=""),"Open","Closed"))</f>
        <v/>
      </c>
      <c r="O555" s="46"/>
      <c r="P555" s="46" t="str">
        <f aca="false">IF(OR(B555="",I555&lt;&gt;"Save for a later revision"),"",IF(COUNTIF('Deferred edits'!$K$2:$K$201,A555)&gt;0,"Yes","● Add to Deferred edits"))</f>
        <v/>
      </c>
    </row>
    <row r="556" customFormat="false" ht="15" hidden="false" customHeight="false" outlineLevel="0" collapsed="false">
      <c r="A556" s="46" t="s">
        <v>851</v>
      </c>
      <c r="B556" s="46"/>
      <c r="C556" s="46"/>
      <c r="D556" s="46"/>
      <c r="E556" s="46"/>
      <c r="F556" s="46"/>
      <c r="G556" s="46"/>
      <c r="H556" s="46"/>
      <c r="I556" s="46"/>
      <c r="J556" s="46"/>
      <c r="K556" s="46"/>
      <c r="L556" s="46"/>
      <c r="M556" s="46" t="str">
        <f aca="false">IF(OR(B556="",I556=""),"",IFERROR(INDEX('Comment flow'!$C$40:$C$46,MATCH(I556,'Comment flow'!$A$40:$A$46,0)),""))</f>
        <v/>
      </c>
      <c r="N556" s="46" t="str">
        <f aca="false">IF(B556="","",IF(OR(I556="",I556="Open: needs a decision",L556=""),"Open","Closed"))</f>
        <v/>
      </c>
      <c r="O556" s="46"/>
      <c r="P556" s="46" t="str">
        <f aca="false">IF(OR(B556="",I556&lt;&gt;"Save for a later revision"),"",IF(COUNTIF('Deferred edits'!$K$2:$K$201,A556)&gt;0,"Yes","● Add to Deferred edits"))</f>
        <v/>
      </c>
    </row>
    <row r="557" customFormat="false" ht="15" hidden="false" customHeight="false" outlineLevel="0" collapsed="false">
      <c r="A557" s="46" t="s">
        <v>852</v>
      </c>
      <c r="B557" s="46"/>
      <c r="C557" s="46"/>
      <c r="D557" s="46"/>
      <c r="E557" s="46"/>
      <c r="F557" s="46"/>
      <c r="G557" s="46"/>
      <c r="H557" s="46"/>
      <c r="I557" s="46"/>
      <c r="J557" s="46"/>
      <c r="K557" s="46"/>
      <c r="L557" s="46"/>
      <c r="M557" s="46" t="str">
        <f aca="false">IF(OR(B557="",I557=""),"",IFERROR(INDEX('Comment flow'!$C$40:$C$46,MATCH(I557,'Comment flow'!$A$40:$A$46,0)),""))</f>
        <v/>
      </c>
      <c r="N557" s="46" t="str">
        <f aca="false">IF(B557="","",IF(OR(I557="",I557="Open: needs a decision",L557=""),"Open","Closed"))</f>
        <v/>
      </c>
      <c r="O557" s="46"/>
      <c r="P557" s="46" t="str">
        <f aca="false">IF(OR(B557="",I557&lt;&gt;"Save for a later revision"),"",IF(COUNTIF('Deferred edits'!$K$2:$K$201,A557)&gt;0,"Yes","● Add to Deferred edits"))</f>
        <v/>
      </c>
    </row>
    <row r="558" customFormat="false" ht="15" hidden="false" customHeight="false" outlineLevel="0" collapsed="false">
      <c r="A558" s="46" t="s">
        <v>853</v>
      </c>
      <c r="B558" s="46"/>
      <c r="C558" s="46"/>
      <c r="D558" s="46"/>
      <c r="E558" s="46"/>
      <c r="F558" s="46"/>
      <c r="G558" s="46"/>
      <c r="H558" s="46"/>
      <c r="I558" s="46"/>
      <c r="J558" s="46"/>
      <c r="K558" s="46"/>
      <c r="L558" s="46"/>
      <c r="M558" s="46" t="str">
        <f aca="false">IF(OR(B558="",I558=""),"",IFERROR(INDEX('Comment flow'!$C$40:$C$46,MATCH(I558,'Comment flow'!$A$40:$A$46,0)),""))</f>
        <v/>
      </c>
      <c r="N558" s="46" t="str">
        <f aca="false">IF(B558="","",IF(OR(I558="",I558="Open: needs a decision",L558=""),"Open","Closed"))</f>
        <v/>
      </c>
      <c r="O558" s="46"/>
      <c r="P558" s="46" t="str">
        <f aca="false">IF(OR(B558="",I558&lt;&gt;"Save for a later revision"),"",IF(COUNTIF('Deferred edits'!$K$2:$K$201,A558)&gt;0,"Yes","● Add to Deferred edits"))</f>
        <v/>
      </c>
    </row>
    <row r="559" customFormat="false" ht="15" hidden="false" customHeight="false" outlineLevel="0" collapsed="false">
      <c r="A559" s="46" t="s">
        <v>854</v>
      </c>
      <c r="B559" s="46"/>
      <c r="C559" s="46"/>
      <c r="D559" s="46"/>
      <c r="E559" s="46"/>
      <c r="F559" s="46"/>
      <c r="G559" s="46"/>
      <c r="H559" s="46"/>
      <c r="I559" s="46"/>
      <c r="J559" s="46"/>
      <c r="K559" s="46"/>
      <c r="L559" s="46"/>
      <c r="M559" s="46" t="str">
        <f aca="false">IF(OR(B559="",I559=""),"",IFERROR(INDEX('Comment flow'!$C$40:$C$46,MATCH(I559,'Comment flow'!$A$40:$A$46,0)),""))</f>
        <v/>
      </c>
      <c r="N559" s="46" t="str">
        <f aca="false">IF(B559="","",IF(OR(I559="",I559="Open: needs a decision",L559=""),"Open","Closed"))</f>
        <v/>
      </c>
      <c r="O559" s="46"/>
      <c r="P559" s="46" t="str">
        <f aca="false">IF(OR(B559="",I559&lt;&gt;"Save for a later revision"),"",IF(COUNTIF('Deferred edits'!$K$2:$K$201,A559)&gt;0,"Yes","● Add to Deferred edits"))</f>
        <v/>
      </c>
    </row>
    <row r="560" customFormat="false" ht="15" hidden="false" customHeight="false" outlineLevel="0" collapsed="false">
      <c r="A560" s="46" t="s">
        <v>855</v>
      </c>
      <c r="B560" s="46"/>
      <c r="C560" s="46"/>
      <c r="D560" s="46"/>
      <c r="E560" s="46"/>
      <c r="F560" s="46"/>
      <c r="G560" s="46"/>
      <c r="H560" s="46"/>
      <c r="I560" s="46"/>
      <c r="J560" s="46"/>
      <c r="K560" s="46"/>
      <c r="L560" s="46"/>
      <c r="M560" s="46" t="str">
        <f aca="false">IF(OR(B560="",I560=""),"",IFERROR(INDEX('Comment flow'!$C$40:$C$46,MATCH(I560,'Comment flow'!$A$40:$A$46,0)),""))</f>
        <v/>
      </c>
      <c r="N560" s="46" t="str">
        <f aca="false">IF(B560="","",IF(OR(I560="",I560="Open: needs a decision",L560=""),"Open","Closed"))</f>
        <v/>
      </c>
      <c r="O560" s="46"/>
      <c r="P560" s="46" t="str">
        <f aca="false">IF(OR(B560="",I560&lt;&gt;"Save for a later revision"),"",IF(COUNTIF('Deferred edits'!$K$2:$K$201,A560)&gt;0,"Yes","● Add to Deferred edits"))</f>
        <v/>
      </c>
    </row>
    <row r="561" customFormat="false" ht="15" hidden="false" customHeight="false" outlineLevel="0" collapsed="false">
      <c r="A561" s="46" t="s">
        <v>856</v>
      </c>
      <c r="B561" s="46"/>
      <c r="C561" s="46"/>
      <c r="D561" s="46"/>
      <c r="E561" s="46"/>
      <c r="F561" s="46"/>
      <c r="G561" s="46"/>
      <c r="H561" s="46"/>
      <c r="I561" s="46"/>
      <c r="J561" s="46"/>
      <c r="K561" s="46"/>
      <c r="L561" s="46"/>
      <c r="M561" s="46" t="str">
        <f aca="false">IF(OR(B561="",I561=""),"",IFERROR(INDEX('Comment flow'!$C$40:$C$46,MATCH(I561,'Comment flow'!$A$40:$A$46,0)),""))</f>
        <v/>
      </c>
      <c r="N561" s="46" t="str">
        <f aca="false">IF(B561="","",IF(OR(I561="",I561="Open: needs a decision",L561=""),"Open","Closed"))</f>
        <v/>
      </c>
      <c r="O561" s="46"/>
      <c r="P561" s="46" t="str">
        <f aca="false">IF(OR(B561="",I561&lt;&gt;"Save for a later revision"),"",IF(COUNTIF('Deferred edits'!$K$2:$K$201,A561)&gt;0,"Yes","● Add to Deferred edits"))</f>
        <v/>
      </c>
    </row>
    <row r="562" customFormat="false" ht="15" hidden="false" customHeight="false" outlineLevel="0" collapsed="false">
      <c r="A562" s="46" t="s">
        <v>857</v>
      </c>
      <c r="B562" s="46"/>
      <c r="C562" s="46"/>
      <c r="D562" s="46"/>
      <c r="E562" s="46"/>
      <c r="F562" s="46"/>
      <c r="G562" s="46"/>
      <c r="H562" s="46"/>
      <c r="I562" s="46"/>
      <c r="J562" s="46"/>
      <c r="K562" s="46"/>
      <c r="L562" s="46"/>
      <c r="M562" s="46" t="str">
        <f aca="false">IF(OR(B562="",I562=""),"",IFERROR(INDEX('Comment flow'!$C$40:$C$46,MATCH(I562,'Comment flow'!$A$40:$A$46,0)),""))</f>
        <v/>
      </c>
      <c r="N562" s="46" t="str">
        <f aca="false">IF(B562="","",IF(OR(I562="",I562="Open: needs a decision",L562=""),"Open","Closed"))</f>
        <v/>
      </c>
      <c r="O562" s="46"/>
      <c r="P562" s="46" t="str">
        <f aca="false">IF(OR(B562="",I562&lt;&gt;"Save for a later revision"),"",IF(COUNTIF('Deferred edits'!$K$2:$K$201,A562)&gt;0,"Yes","● Add to Deferred edits"))</f>
        <v/>
      </c>
    </row>
    <row r="563" customFormat="false" ht="15" hidden="false" customHeight="false" outlineLevel="0" collapsed="false">
      <c r="A563" s="46" t="s">
        <v>858</v>
      </c>
      <c r="B563" s="46"/>
      <c r="C563" s="46"/>
      <c r="D563" s="46"/>
      <c r="E563" s="46"/>
      <c r="F563" s="46"/>
      <c r="G563" s="46"/>
      <c r="H563" s="46"/>
      <c r="I563" s="46"/>
      <c r="J563" s="46"/>
      <c r="K563" s="46"/>
      <c r="L563" s="46"/>
      <c r="M563" s="46" t="str">
        <f aca="false">IF(OR(B563="",I563=""),"",IFERROR(INDEX('Comment flow'!$C$40:$C$46,MATCH(I563,'Comment flow'!$A$40:$A$46,0)),""))</f>
        <v/>
      </c>
      <c r="N563" s="46" t="str">
        <f aca="false">IF(B563="","",IF(OR(I563="",I563="Open: needs a decision",L563=""),"Open","Closed"))</f>
        <v/>
      </c>
      <c r="O563" s="46"/>
      <c r="P563" s="46" t="str">
        <f aca="false">IF(OR(B563="",I563&lt;&gt;"Save for a later revision"),"",IF(COUNTIF('Deferred edits'!$K$2:$K$201,A563)&gt;0,"Yes","● Add to Deferred edits"))</f>
        <v/>
      </c>
    </row>
    <row r="564" customFormat="false" ht="15" hidden="false" customHeight="false" outlineLevel="0" collapsed="false">
      <c r="A564" s="46" t="s">
        <v>859</v>
      </c>
      <c r="B564" s="46"/>
      <c r="C564" s="46"/>
      <c r="D564" s="46"/>
      <c r="E564" s="46"/>
      <c r="F564" s="46"/>
      <c r="G564" s="46"/>
      <c r="H564" s="46"/>
      <c r="I564" s="46"/>
      <c r="J564" s="46"/>
      <c r="K564" s="46"/>
      <c r="L564" s="46"/>
      <c r="M564" s="46" t="str">
        <f aca="false">IF(OR(B564="",I564=""),"",IFERROR(INDEX('Comment flow'!$C$40:$C$46,MATCH(I564,'Comment flow'!$A$40:$A$46,0)),""))</f>
        <v/>
      </c>
      <c r="N564" s="46" t="str">
        <f aca="false">IF(B564="","",IF(OR(I564="",I564="Open: needs a decision",L564=""),"Open","Closed"))</f>
        <v/>
      </c>
      <c r="O564" s="46"/>
      <c r="P564" s="46" t="str">
        <f aca="false">IF(OR(B564="",I564&lt;&gt;"Save for a later revision"),"",IF(COUNTIF('Deferred edits'!$K$2:$K$201,A564)&gt;0,"Yes","● Add to Deferred edits"))</f>
        <v/>
      </c>
    </row>
    <row r="565" customFormat="false" ht="15" hidden="false" customHeight="false" outlineLevel="0" collapsed="false">
      <c r="A565" s="46" t="s">
        <v>860</v>
      </c>
      <c r="B565" s="46"/>
      <c r="C565" s="46"/>
      <c r="D565" s="46"/>
      <c r="E565" s="46"/>
      <c r="F565" s="46"/>
      <c r="G565" s="46"/>
      <c r="H565" s="46"/>
      <c r="I565" s="46"/>
      <c r="J565" s="46"/>
      <c r="K565" s="46"/>
      <c r="L565" s="46"/>
      <c r="M565" s="46" t="str">
        <f aca="false">IF(OR(B565="",I565=""),"",IFERROR(INDEX('Comment flow'!$C$40:$C$46,MATCH(I565,'Comment flow'!$A$40:$A$46,0)),""))</f>
        <v/>
      </c>
      <c r="N565" s="46" t="str">
        <f aca="false">IF(B565="","",IF(OR(I565="",I565="Open: needs a decision",L565=""),"Open","Closed"))</f>
        <v/>
      </c>
      <c r="O565" s="46"/>
      <c r="P565" s="46" t="str">
        <f aca="false">IF(OR(B565="",I565&lt;&gt;"Save for a later revision"),"",IF(COUNTIF('Deferred edits'!$K$2:$K$201,A565)&gt;0,"Yes","● Add to Deferred edits"))</f>
        <v/>
      </c>
    </row>
    <row r="566" customFormat="false" ht="15" hidden="false" customHeight="false" outlineLevel="0" collapsed="false">
      <c r="A566" s="46" t="s">
        <v>861</v>
      </c>
      <c r="B566" s="46"/>
      <c r="C566" s="46"/>
      <c r="D566" s="46"/>
      <c r="E566" s="46"/>
      <c r="F566" s="46"/>
      <c r="G566" s="46"/>
      <c r="H566" s="46"/>
      <c r="I566" s="46"/>
      <c r="J566" s="46"/>
      <c r="K566" s="46"/>
      <c r="L566" s="46"/>
      <c r="M566" s="46" t="str">
        <f aca="false">IF(OR(B566="",I566=""),"",IFERROR(INDEX('Comment flow'!$C$40:$C$46,MATCH(I566,'Comment flow'!$A$40:$A$46,0)),""))</f>
        <v/>
      </c>
      <c r="N566" s="46" t="str">
        <f aca="false">IF(B566="","",IF(OR(I566="",I566="Open: needs a decision",L566=""),"Open","Closed"))</f>
        <v/>
      </c>
      <c r="O566" s="46"/>
      <c r="P566" s="46" t="str">
        <f aca="false">IF(OR(B566="",I566&lt;&gt;"Save for a later revision"),"",IF(COUNTIF('Deferred edits'!$K$2:$K$201,A566)&gt;0,"Yes","● Add to Deferred edits"))</f>
        <v/>
      </c>
    </row>
    <row r="567" customFormat="false" ht="15" hidden="false" customHeight="false" outlineLevel="0" collapsed="false">
      <c r="A567" s="46" t="s">
        <v>862</v>
      </c>
      <c r="B567" s="46"/>
      <c r="C567" s="46"/>
      <c r="D567" s="46"/>
      <c r="E567" s="46"/>
      <c r="F567" s="46"/>
      <c r="G567" s="46"/>
      <c r="H567" s="46"/>
      <c r="I567" s="46"/>
      <c r="J567" s="46"/>
      <c r="K567" s="46"/>
      <c r="L567" s="46"/>
      <c r="M567" s="46" t="str">
        <f aca="false">IF(OR(B567="",I567=""),"",IFERROR(INDEX('Comment flow'!$C$40:$C$46,MATCH(I567,'Comment flow'!$A$40:$A$46,0)),""))</f>
        <v/>
      </c>
      <c r="N567" s="46" t="str">
        <f aca="false">IF(B567="","",IF(OR(I567="",I567="Open: needs a decision",L567=""),"Open","Closed"))</f>
        <v/>
      </c>
      <c r="O567" s="46"/>
      <c r="P567" s="46" t="str">
        <f aca="false">IF(OR(B567="",I567&lt;&gt;"Save for a later revision"),"",IF(COUNTIF('Deferred edits'!$K$2:$K$201,A567)&gt;0,"Yes","● Add to Deferred edits"))</f>
        <v/>
      </c>
    </row>
    <row r="568" customFormat="false" ht="15" hidden="false" customHeight="false" outlineLevel="0" collapsed="false">
      <c r="A568" s="46" t="s">
        <v>863</v>
      </c>
      <c r="B568" s="46"/>
      <c r="C568" s="46"/>
      <c r="D568" s="46"/>
      <c r="E568" s="46"/>
      <c r="F568" s="46"/>
      <c r="G568" s="46"/>
      <c r="H568" s="46"/>
      <c r="I568" s="46"/>
      <c r="J568" s="46"/>
      <c r="K568" s="46"/>
      <c r="L568" s="46"/>
      <c r="M568" s="46" t="str">
        <f aca="false">IF(OR(B568="",I568=""),"",IFERROR(INDEX('Comment flow'!$C$40:$C$46,MATCH(I568,'Comment flow'!$A$40:$A$46,0)),""))</f>
        <v/>
      </c>
      <c r="N568" s="46" t="str">
        <f aca="false">IF(B568="","",IF(OR(I568="",I568="Open: needs a decision",L568=""),"Open","Closed"))</f>
        <v/>
      </c>
      <c r="O568" s="46"/>
      <c r="P568" s="46" t="str">
        <f aca="false">IF(OR(B568="",I568&lt;&gt;"Save for a later revision"),"",IF(COUNTIF('Deferred edits'!$K$2:$K$201,A568)&gt;0,"Yes","● Add to Deferred edits"))</f>
        <v/>
      </c>
    </row>
    <row r="569" customFormat="false" ht="15" hidden="false" customHeight="false" outlineLevel="0" collapsed="false">
      <c r="A569" s="46" t="s">
        <v>864</v>
      </c>
      <c r="B569" s="46"/>
      <c r="C569" s="46"/>
      <c r="D569" s="46"/>
      <c r="E569" s="46"/>
      <c r="F569" s="46"/>
      <c r="G569" s="46"/>
      <c r="H569" s="46"/>
      <c r="I569" s="46"/>
      <c r="J569" s="46"/>
      <c r="K569" s="46"/>
      <c r="L569" s="46"/>
      <c r="M569" s="46" t="str">
        <f aca="false">IF(OR(B569="",I569=""),"",IFERROR(INDEX('Comment flow'!$C$40:$C$46,MATCH(I569,'Comment flow'!$A$40:$A$46,0)),""))</f>
        <v/>
      </c>
      <c r="N569" s="46" t="str">
        <f aca="false">IF(B569="","",IF(OR(I569="",I569="Open: needs a decision",L569=""),"Open","Closed"))</f>
        <v/>
      </c>
      <c r="O569" s="46"/>
      <c r="P569" s="46" t="str">
        <f aca="false">IF(OR(B569="",I569&lt;&gt;"Save for a later revision"),"",IF(COUNTIF('Deferred edits'!$K$2:$K$201,A569)&gt;0,"Yes","● Add to Deferred edits"))</f>
        <v/>
      </c>
    </row>
    <row r="570" customFormat="false" ht="15" hidden="false" customHeight="false" outlineLevel="0" collapsed="false">
      <c r="A570" s="46" t="s">
        <v>865</v>
      </c>
      <c r="B570" s="46"/>
      <c r="C570" s="46"/>
      <c r="D570" s="46"/>
      <c r="E570" s="46"/>
      <c r="F570" s="46"/>
      <c r="G570" s="46"/>
      <c r="H570" s="46"/>
      <c r="I570" s="46"/>
      <c r="J570" s="46"/>
      <c r="K570" s="46"/>
      <c r="L570" s="46"/>
      <c r="M570" s="46" t="str">
        <f aca="false">IF(OR(B570="",I570=""),"",IFERROR(INDEX('Comment flow'!$C$40:$C$46,MATCH(I570,'Comment flow'!$A$40:$A$46,0)),""))</f>
        <v/>
      </c>
      <c r="N570" s="46" t="str">
        <f aca="false">IF(B570="","",IF(OR(I570="",I570="Open: needs a decision",L570=""),"Open","Closed"))</f>
        <v/>
      </c>
      <c r="O570" s="46"/>
      <c r="P570" s="46" t="str">
        <f aca="false">IF(OR(B570="",I570&lt;&gt;"Save for a later revision"),"",IF(COUNTIF('Deferred edits'!$K$2:$K$201,A570)&gt;0,"Yes","● Add to Deferred edits"))</f>
        <v/>
      </c>
    </row>
    <row r="571" customFormat="false" ht="15" hidden="false" customHeight="false" outlineLevel="0" collapsed="false">
      <c r="A571" s="46" t="s">
        <v>866</v>
      </c>
      <c r="B571" s="46"/>
      <c r="C571" s="46"/>
      <c r="D571" s="46"/>
      <c r="E571" s="46"/>
      <c r="F571" s="46"/>
      <c r="G571" s="46"/>
      <c r="H571" s="46"/>
      <c r="I571" s="46"/>
      <c r="J571" s="46"/>
      <c r="K571" s="46"/>
      <c r="L571" s="46"/>
      <c r="M571" s="46" t="str">
        <f aca="false">IF(OR(B571="",I571=""),"",IFERROR(INDEX('Comment flow'!$C$40:$C$46,MATCH(I571,'Comment flow'!$A$40:$A$46,0)),""))</f>
        <v/>
      </c>
      <c r="N571" s="46" t="str">
        <f aca="false">IF(B571="","",IF(OR(I571="",I571="Open: needs a decision",L571=""),"Open","Closed"))</f>
        <v/>
      </c>
      <c r="O571" s="46"/>
      <c r="P571" s="46" t="str">
        <f aca="false">IF(OR(B571="",I571&lt;&gt;"Save for a later revision"),"",IF(COUNTIF('Deferred edits'!$K$2:$K$201,A571)&gt;0,"Yes","● Add to Deferred edits"))</f>
        <v/>
      </c>
    </row>
    <row r="572" customFormat="false" ht="15" hidden="false" customHeight="false" outlineLevel="0" collapsed="false">
      <c r="A572" s="46" t="s">
        <v>867</v>
      </c>
      <c r="B572" s="46"/>
      <c r="C572" s="46"/>
      <c r="D572" s="46"/>
      <c r="E572" s="46"/>
      <c r="F572" s="46"/>
      <c r="G572" s="46"/>
      <c r="H572" s="46"/>
      <c r="I572" s="46"/>
      <c r="J572" s="46"/>
      <c r="K572" s="46"/>
      <c r="L572" s="46"/>
      <c r="M572" s="46" t="str">
        <f aca="false">IF(OR(B572="",I572=""),"",IFERROR(INDEX('Comment flow'!$C$40:$C$46,MATCH(I572,'Comment flow'!$A$40:$A$46,0)),""))</f>
        <v/>
      </c>
      <c r="N572" s="46" t="str">
        <f aca="false">IF(B572="","",IF(OR(I572="",I572="Open: needs a decision",L572=""),"Open","Closed"))</f>
        <v/>
      </c>
      <c r="O572" s="46"/>
      <c r="P572" s="46" t="str">
        <f aca="false">IF(OR(B572="",I572&lt;&gt;"Save for a later revision"),"",IF(COUNTIF('Deferred edits'!$K$2:$K$201,A572)&gt;0,"Yes","● Add to Deferred edits"))</f>
        <v/>
      </c>
    </row>
    <row r="573" customFormat="false" ht="15" hidden="false" customHeight="false" outlineLevel="0" collapsed="false">
      <c r="A573" s="46" t="s">
        <v>868</v>
      </c>
      <c r="B573" s="46"/>
      <c r="C573" s="46"/>
      <c r="D573" s="46"/>
      <c r="E573" s="46"/>
      <c r="F573" s="46"/>
      <c r="G573" s="46"/>
      <c r="H573" s="46"/>
      <c r="I573" s="46"/>
      <c r="J573" s="46"/>
      <c r="K573" s="46"/>
      <c r="L573" s="46"/>
      <c r="M573" s="46" t="str">
        <f aca="false">IF(OR(B573="",I573=""),"",IFERROR(INDEX('Comment flow'!$C$40:$C$46,MATCH(I573,'Comment flow'!$A$40:$A$46,0)),""))</f>
        <v/>
      </c>
      <c r="N573" s="46" t="str">
        <f aca="false">IF(B573="","",IF(OR(I573="",I573="Open: needs a decision",L573=""),"Open","Closed"))</f>
        <v/>
      </c>
      <c r="O573" s="46"/>
      <c r="P573" s="46" t="str">
        <f aca="false">IF(OR(B573="",I573&lt;&gt;"Save for a later revision"),"",IF(COUNTIF('Deferred edits'!$K$2:$K$201,A573)&gt;0,"Yes","● Add to Deferred edits"))</f>
        <v/>
      </c>
    </row>
    <row r="574" customFormat="false" ht="15" hidden="false" customHeight="false" outlineLevel="0" collapsed="false">
      <c r="A574" s="46" t="s">
        <v>869</v>
      </c>
      <c r="B574" s="46"/>
      <c r="C574" s="46"/>
      <c r="D574" s="46"/>
      <c r="E574" s="46"/>
      <c r="F574" s="46"/>
      <c r="G574" s="46"/>
      <c r="H574" s="46"/>
      <c r="I574" s="46"/>
      <c r="J574" s="46"/>
      <c r="K574" s="46"/>
      <c r="L574" s="46"/>
      <c r="M574" s="46" t="str">
        <f aca="false">IF(OR(B574="",I574=""),"",IFERROR(INDEX('Comment flow'!$C$40:$C$46,MATCH(I574,'Comment flow'!$A$40:$A$46,0)),""))</f>
        <v/>
      </c>
      <c r="N574" s="46" t="str">
        <f aca="false">IF(B574="","",IF(OR(I574="",I574="Open: needs a decision",L574=""),"Open","Closed"))</f>
        <v/>
      </c>
      <c r="O574" s="46"/>
      <c r="P574" s="46" t="str">
        <f aca="false">IF(OR(B574="",I574&lt;&gt;"Save for a later revision"),"",IF(COUNTIF('Deferred edits'!$K$2:$K$201,A574)&gt;0,"Yes","● Add to Deferred edits"))</f>
        <v/>
      </c>
    </row>
    <row r="575" customFormat="false" ht="15" hidden="false" customHeight="false" outlineLevel="0" collapsed="false">
      <c r="A575" s="46" t="s">
        <v>870</v>
      </c>
      <c r="B575" s="46"/>
      <c r="C575" s="46"/>
      <c r="D575" s="46"/>
      <c r="E575" s="46"/>
      <c r="F575" s="46"/>
      <c r="G575" s="46"/>
      <c r="H575" s="46"/>
      <c r="I575" s="46"/>
      <c r="J575" s="46"/>
      <c r="K575" s="46"/>
      <c r="L575" s="46"/>
      <c r="M575" s="46" t="str">
        <f aca="false">IF(OR(B575="",I575=""),"",IFERROR(INDEX('Comment flow'!$C$40:$C$46,MATCH(I575,'Comment flow'!$A$40:$A$46,0)),""))</f>
        <v/>
      </c>
      <c r="N575" s="46" t="str">
        <f aca="false">IF(B575="","",IF(OR(I575="",I575="Open: needs a decision",L575=""),"Open","Closed"))</f>
        <v/>
      </c>
      <c r="O575" s="46"/>
      <c r="P575" s="46" t="str">
        <f aca="false">IF(OR(B575="",I575&lt;&gt;"Save for a later revision"),"",IF(COUNTIF('Deferred edits'!$K$2:$K$201,A575)&gt;0,"Yes","● Add to Deferred edits"))</f>
        <v/>
      </c>
    </row>
    <row r="576" customFormat="false" ht="15" hidden="false" customHeight="false" outlineLevel="0" collapsed="false">
      <c r="A576" s="46" t="s">
        <v>871</v>
      </c>
      <c r="B576" s="46"/>
      <c r="C576" s="46"/>
      <c r="D576" s="46"/>
      <c r="E576" s="46"/>
      <c r="F576" s="46"/>
      <c r="G576" s="46"/>
      <c r="H576" s="46"/>
      <c r="I576" s="46"/>
      <c r="J576" s="46"/>
      <c r="K576" s="46"/>
      <c r="L576" s="46"/>
      <c r="M576" s="46" t="str">
        <f aca="false">IF(OR(B576="",I576=""),"",IFERROR(INDEX('Comment flow'!$C$40:$C$46,MATCH(I576,'Comment flow'!$A$40:$A$46,0)),""))</f>
        <v/>
      </c>
      <c r="N576" s="46" t="str">
        <f aca="false">IF(B576="","",IF(OR(I576="",I576="Open: needs a decision",L576=""),"Open","Closed"))</f>
        <v/>
      </c>
      <c r="O576" s="46"/>
      <c r="P576" s="46" t="str">
        <f aca="false">IF(OR(B576="",I576&lt;&gt;"Save for a later revision"),"",IF(COUNTIF('Deferred edits'!$K$2:$K$201,A576)&gt;0,"Yes","● Add to Deferred edits"))</f>
        <v/>
      </c>
    </row>
    <row r="577" customFormat="false" ht="15" hidden="false" customHeight="false" outlineLevel="0" collapsed="false">
      <c r="A577" s="46" t="s">
        <v>872</v>
      </c>
      <c r="B577" s="46"/>
      <c r="C577" s="46"/>
      <c r="D577" s="46"/>
      <c r="E577" s="46"/>
      <c r="F577" s="46"/>
      <c r="G577" s="46"/>
      <c r="H577" s="46"/>
      <c r="I577" s="46"/>
      <c r="J577" s="46"/>
      <c r="K577" s="46"/>
      <c r="L577" s="46"/>
      <c r="M577" s="46" t="str">
        <f aca="false">IF(OR(B577="",I577=""),"",IFERROR(INDEX('Comment flow'!$C$40:$C$46,MATCH(I577,'Comment flow'!$A$40:$A$46,0)),""))</f>
        <v/>
      </c>
      <c r="N577" s="46" t="str">
        <f aca="false">IF(B577="","",IF(OR(I577="",I577="Open: needs a decision",L577=""),"Open","Closed"))</f>
        <v/>
      </c>
      <c r="O577" s="46"/>
      <c r="P577" s="46" t="str">
        <f aca="false">IF(OR(B577="",I577&lt;&gt;"Save for a later revision"),"",IF(COUNTIF('Deferred edits'!$K$2:$K$201,A577)&gt;0,"Yes","● Add to Deferred edits"))</f>
        <v/>
      </c>
    </row>
    <row r="578" customFormat="false" ht="15" hidden="false" customHeight="false" outlineLevel="0" collapsed="false">
      <c r="A578" s="46" t="s">
        <v>873</v>
      </c>
      <c r="B578" s="46"/>
      <c r="C578" s="46"/>
      <c r="D578" s="46"/>
      <c r="E578" s="46"/>
      <c r="F578" s="46"/>
      <c r="G578" s="46"/>
      <c r="H578" s="46"/>
      <c r="I578" s="46"/>
      <c r="J578" s="46"/>
      <c r="K578" s="46"/>
      <c r="L578" s="46"/>
      <c r="M578" s="46" t="str">
        <f aca="false">IF(OR(B578="",I578=""),"",IFERROR(INDEX('Comment flow'!$C$40:$C$46,MATCH(I578,'Comment flow'!$A$40:$A$46,0)),""))</f>
        <v/>
      </c>
      <c r="N578" s="46" t="str">
        <f aca="false">IF(B578="","",IF(OR(I578="",I578="Open: needs a decision",L578=""),"Open","Closed"))</f>
        <v/>
      </c>
      <c r="O578" s="46"/>
      <c r="P578" s="46" t="str">
        <f aca="false">IF(OR(B578="",I578&lt;&gt;"Save for a later revision"),"",IF(COUNTIF('Deferred edits'!$K$2:$K$201,A578)&gt;0,"Yes","● Add to Deferred edits"))</f>
        <v/>
      </c>
    </row>
    <row r="579" customFormat="false" ht="15" hidden="false" customHeight="false" outlineLevel="0" collapsed="false">
      <c r="A579" s="46" t="s">
        <v>874</v>
      </c>
      <c r="B579" s="46"/>
      <c r="C579" s="46"/>
      <c r="D579" s="46"/>
      <c r="E579" s="46"/>
      <c r="F579" s="46"/>
      <c r="G579" s="46"/>
      <c r="H579" s="46"/>
      <c r="I579" s="46"/>
      <c r="J579" s="46"/>
      <c r="K579" s="46"/>
      <c r="L579" s="46"/>
      <c r="M579" s="46" t="str">
        <f aca="false">IF(OR(B579="",I579=""),"",IFERROR(INDEX('Comment flow'!$C$40:$C$46,MATCH(I579,'Comment flow'!$A$40:$A$46,0)),""))</f>
        <v/>
      </c>
      <c r="N579" s="46" t="str">
        <f aca="false">IF(B579="","",IF(OR(I579="",I579="Open: needs a decision",L579=""),"Open","Closed"))</f>
        <v/>
      </c>
      <c r="O579" s="46"/>
      <c r="P579" s="46" t="str">
        <f aca="false">IF(OR(B579="",I579&lt;&gt;"Save for a later revision"),"",IF(COUNTIF('Deferred edits'!$K$2:$K$201,A579)&gt;0,"Yes","● Add to Deferred edits"))</f>
        <v/>
      </c>
    </row>
    <row r="580" customFormat="false" ht="15" hidden="false" customHeight="false" outlineLevel="0" collapsed="false">
      <c r="A580" s="46" t="s">
        <v>875</v>
      </c>
      <c r="B580" s="46"/>
      <c r="C580" s="46"/>
      <c r="D580" s="46"/>
      <c r="E580" s="46"/>
      <c r="F580" s="46"/>
      <c r="G580" s="46"/>
      <c r="H580" s="46"/>
      <c r="I580" s="46"/>
      <c r="J580" s="46"/>
      <c r="K580" s="46"/>
      <c r="L580" s="46"/>
      <c r="M580" s="46" t="str">
        <f aca="false">IF(OR(B580="",I580=""),"",IFERROR(INDEX('Comment flow'!$C$40:$C$46,MATCH(I580,'Comment flow'!$A$40:$A$46,0)),""))</f>
        <v/>
      </c>
      <c r="N580" s="46" t="str">
        <f aca="false">IF(B580="","",IF(OR(I580="",I580="Open: needs a decision",L580=""),"Open","Closed"))</f>
        <v/>
      </c>
      <c r="O580" s="46"/>
      <c r="P580" s="46" t="str">
        <f aca="false">IF(OR(B580="",I580&lt;&gt;"Save for a later revision"),"",IF(COUNTIF('Deferred edits'!$K$2:$K$201,A580)&gt;0,"Yes","● Add to Deferred edits"))</f>
        <v/>
      </c>
    </row>
    <row r="581" customFormat="false" ht="15" hidden="false" customHeight="false" outlineLevel="0" collapsed="false">
      <c r="A581" s="46" t="s">
        <v>876</v>
      </c>
      <c r="B581" s="46"/>
      <c r="C581" s="46"/>
      <c r="D581" s="46"/>
      <c r="E581" s="46"/>
      <c r="F581" s="46"/>
      <c r="G581" s="46"/>
      <c r="H581" s="46"/>
      <c r="I581" s="46"/>
      <c r="J581" s="46"/>
      <c r="K581" s="46"/>
      <c r="L581" s="46"/>
      <c r="M581" s="46" t="str">
        <f aca="false">IF(OR(B581="",I581=""),"",IFERROR(INDEX('Comment flow'!$C$40:$C$46,MATCH(I581,'Comment flow'!$A$40:$A$46,0)),""))</f>
        <v/>
      </c>
      <c r="N581" s="46" t="str">
        <f aca="false">IF(B581="","",IF(OR(I581="",I581="Open: needs a decision",L581=""),"Open","Closed"))</f>
        <v/>
      </c>
      <c r="O581" s="46"/>
      <c r="P581" s="46" t="str">
        <f aca="false">IF(OR(B581="",I581&lt;&gt;"Save for a later revision"),"",IF(COUNTIF('Deferred edits'!$K$2:$K$201,A581)&gt;0,"Yes","● Add to Deferred edits"))</f>
        <v/>
      </c>
    </row>
    <row r="582" customFormat="false" ht="15" hidden="false" customHeight="false" outlineLevel="0" collapsed="false">
      <c r="A582" s="46" t="s">
        <v>877</v>
      </c>
      <c r="B582" s="46"/>
      <c r="C582" s="46"/>
      <c r="D582" s="46"/>
      <c r="E582" s="46"/>
      <c r="F582" s="46"/>
      <c r="G582" s="46"/>
      <c r="H582" s="46"/>
      <c r="I582" s="46"/>
      <c r="J582" s="46"/>
      <c r="K582" s="46"/>
      <c r="L582" s="46"/>
      <c r="M582" s="46" t="str">
        <f aca="false">IF(OR(B582="",I582=""),"",IFERROR(INDEX('Comment flow'!$C$40:$C$46,MATCH(I582,'Comment flow'!$A$40:$A$46,0)),""))</f>
        <v/>
      </c>
      <c r="N582" s="46" t="str">
        <f aca="false">IF(B582="","",IF(OR(I582="",I582="Open: needs a decision",L582=""),"Open","Closed"))</f>
        <v/>
      </c>
      <c r="O582" s="46"/>
      <c r="P582" s="46" t="str">
        <f aca="false">IF(OR(B582="",I582&lt;&gt;"Save for a later revision"),"",IF(COUNTIF('Deferred edits'!$K$2:$K$201,A582)&gt;0,"Yes","● Add to Deferred edits"))</f>
        <v/>
      </c>
    </row>
    <row r="583" customFormat="false" ht="15" hidden="false" customHeight="false" outlineLevel="0" collapsed="false">
      <c r="A583" s="46" t="s">
        <v>878</v>
      </c>
      <c r="B583" s="46"/>
      <c r="C583" s="46"/>
      <c r="D583" s="46"/>
      <c r="E583" s="46"/>
      <c r="F583" s="46"/>
      <c r="G583" s="46"/>
      <c r="H583" s="46"/>
      <c r="I583" s="46"/>
      <c r="J583" s="46"/>
      <c r="K583" s="46"/>
      <c r="L583" s="46"/>
      <c r="M583" s="46" t="str">
        <f aca="false">IF(OR(B583="",I583=""),"",IFERROR(INDEX('Comment flow'!$C$40:$C$46,MATCH(I583,'Comment flow'!$A$40:$A$46,0)),""))</f>
        <v/>
      </c>
      <c r="N583" s="46" t="str">
        <f aca="false">IF(B583="","",IF(OR(I583="",I583="Open: needs a decision",L583=""),"Open","Closed"))</f>
        <v/>
      </c>
      <c r="O583" s="46"/>
      <c r="P583" s="46" t="str">
        <f aca="false">IF(OR(B583="",I583&lt;&gt;"Save for a later revision"),"",IF(COUNTIF('Deferred edits'!$K$2:$K$201,A583)&gt;0,"Yes","● Add to Deferred edits"))</f>
        <v/>
      </c>
    </row>
    <row r="584" customFormat="false" ht="15" hidden="false" customHeight="false" outlineLevel="0" collapsed="false">
      <c r="A584" s="46" t="s">
        <v>879</v>
      </c>
      <c r="B584" s="46"/>
      <c r="C584" s="46"/>
      <c r="D584" s="46"/>
      <c r="E584" s="46"/>
      <c r="F584" s="46"/>
      <c r="G584" s="46"/>
      <c r="H584" s="46"/>
      <c r="I584" s="46"/>
      <c r="J584" s="46"/>
      <c r="K584" s="46"/>
      <c r="L584" s="46"/>
      <c r="M584" s="46" t="str">
        <f aca="false">IF(OR(B584="",I584=""),"",IFERROR(INDEX('Comment flow'!$C$40:$C$46,MATCH(I584,'Comment flow'!$A$40:$A$46,0)),""))</f>
        <v/>
      </c>
      <c r="N584" s="46" t="str">
        <f aca="false">IF(B584="","",IF(OR(I584="",I584="Open: needs a decision",L584=""),"Open","Closed"))</f>
        <v/>
      </c>
      <c r="O584" s="46"/>
      <c r="P584" s="46" t="str">
        <f aca="false">IF(OR(B584="",I584&lt;&gt;"Save for a later revision"),"",IF(COUNTIF('Deferred edits'!$K$2:$K$201,A584)&gt;0,"Yes","● Add to Deferred edits"))</f>
        <v/>
      </c>
    </row>
    <row r="585" customFormat="false" ht="15" hidden="false" customHeight="false" outlineLevel="0" collapsed="false">
      <c r="A585" s="46" t="s">
        <v>880</v>
      </c>
      <c r="B585" s="46"/>
      <c r="C585" s="46"/>
      <c r="D585" s="46"/>
      <c r="E585" s="46"/>
      <c r="F585" s="46"/>
      <c r="G585" s="46"/>
      <c r="H585" s="46"/>
      <c r="I585" s="46"/>
      <c r="J585" s="46"/>
      <c r="K585" s="46"/>
      <c r="L585" s="46"/>
      <c r="M585" s="46" t="str">
        <f aca="false">IF(OR(B585="",I585=""),"",IFERROR(INDEX('Comment flow'!$C$40:$C$46,MATCH(I585,'Comment flow'!$A$40:$A$46,0)),""))</f>
        <v/>
      </c>
      <c r="N585" s="46" t="str">
        <f aca="false">IF(B585="","",IF(OR(I585="",I585="Open: needs a decision",L585=""),"Open","Closed"))</f>
        <v/>
      </c>
      <c r="O585" s="46"/>
      <c r="P585" s="46" t="str">
        <f aca="false">IF(OR(B585="",I585&lt;&gt;"Save for a later revision"),"",IF(COUNTIF('Deferred edits'!$K$2:$K$201,A585)&gt;0,"Yes","● Add to Deferred edits"))</f>
        <v/>
      </c>
    </row>
    <row r="586" customFormat="false" ht="15" hidden="false" customHeight="false" outlineLevel="0" collapsed="false">
      <c r="A586" s="46" t="s">
        <v>881</v>
      </c>
      <c r="B586" s="46"/>
      <c r="C586" s="46"/>
      <c r="D586" s="46"/>
      <c r="E586" s="46"/>
      <c r="F586" s="46"/>
      <c r="G586" s="46"/>
      <c r="H586" s="46"/>
      <c r="I586" s="46"/>
      <c r="J586" s="46"/>
      <c r="K586" s="46"/>
      <c r="L586" s="46"/>
      <c r="M586" s="46" t="str">
        <f aca="false">IF(OR(B586="",I586=""),"",IFERROR(INDEX('Comment flow'!$C$40:$C$46,MATCH(I586,'Comment flow'!$A$40:$A$46,0)),""))</f>
        <v/>
      </c>
      <c r="N586" s="46" t="str">
        <f aca="false">IF(B586="","",IF(OR(I586="",I586="Open: needs a decision",L586=""),"Open","Closed"))</f>
        <v/>
      </c>
      <c r="O586" s="46"/>
      <c r="P586" s="46" t="str">
        <f aca="false">IF(OR(B586="",I586&lt;&gt;"Save for a later revision"),"",IF(COUNTIF('Deferred edits'!$K$2:$K$201,A586)&gt;0,"Yes","● Add to Deferred edits"))</f>
        <v/>
      </c>
    </row>
    <row r="587" customFormat="false" ht="15" hidden="false" customHeight="false" outlineLevel="0" collapsed="false">
      <c r="A587" s="46" t="s">
        <v>882</v>
      </c>
      <c r="B587" s="46"/>
      <c r="C587" s="46"/>
      <c r="D587" s="46"/>
      <c r="E587" s="46"/>
      <c r="F587" s="46"/>
      <c r="G587" s="46"/>
      <c r="H587" s="46"/>
      <c r="I587" s="46"/>
      <c r="J587" s="46"/>
      <c r="K587" s="46"/>
      <c r="L587" s="46"/>
      <c r="M587" s="46" t="str">
        <f aca="false">IF(OR(B587="",I587=""),"",IFERROR(INDEX('Comment flow'!$C$40:$C$46,MATCH(I587,'Comment flow'!$A$40:$A$46,0)),""))</f>
        <v/>
      </c>
      <c r="N587" s="46" t="str">
        <f aca="false">IF(B587="","",IF(OR(I587="",I587="Open: needs a decision",L587=""),"Open","Closed"))</f>
        <v/>
      </c>
      <c r="O587" s="46"/>
      <c r="P587" s="46" t="str">
        <f aca="false">IF(OR(B587="",I587&lt;&gt;"Save for a later revision"),"",IF(COUNTIF('Deferred edits'!$K$2:$K$201,A587)&gt;0,"Yes","● Add to Deferred edits"))</f>
        <v/>
      </c>
    </row>
    <row r="588" customFormat="false" ht="15" hidden="false" customHeight="false" outlineLevel="0" collapsed="false">
      <c r="A588" s="46" t="s">
        <v>883</v>
      </c>
      <c r="B588" s="46"/>
      <c r="C588" s="46"/>
      <c r="D588" s="46"/>
      <c r="E588" s="46"/>
      <c r="F588" s="46"/>
      <c r="G588" s="46"/>
      <c r="H588" s="46"/>
      <c r="I588" s="46"/>
      <c r="J588" s="46"/>
      <c r="K588" s="46"/>
      <c r="L588" s="46"/>
      <c r="M588" s="46" t="str">
        <f aca="false">IF(OR(B588="",I588=""),"",IFERROR(INDEX('Comment flow'!$C$40:$C$46,MATCH(I588,'Comment flow'!$A$40:$A$46,0)),""))</f>
        <v/>
      </c>
      <c r="N588" s="46" t="str">
        <f aca="false">IF(B588="","",IF(OR(I588="",I588="Open: needs a decision",L588=""),"Open","Closed"))</f>
        <v/>
      </c>
      <c r="O588" s="46"/>
      <c r="P588" s="46" t="str">
        <f aca="false">IF(OR(B588="",I588&lt;&gt;"Save for a later revision"),"",IF(COUNTIF('Deferred edits'!$K$2:$K$201,A588)&gt;0,"Yes","● Add to Deferred edits"))</f>
        <v/>
      </c>
    </row>
    <row r="589" customFormat="false" ht="15" hidden="false" customHeight="false" outlineLevel="0" collapsed="false">
      <c r="A589" s="46" t="s">
        <v>884</v>
      </c>
      <c r="B589" s="46"/>
      <c r="C589" s="46"/>
      <c r="D589" s="46"/>
      <c r="E589" s="46"/>
      <c r="F589" s="46"/>
      <c r="G589" s="46"/>
      <c r="H589" s="46"/>
      <c r="I589" s="46"/>
      <c r="J589" s="46"/>
      <c r="K589" s="46"/>
      <c r="L589" s="46"/>
      <c r="M589" s="46" t="str">
        <f aca="false">IF(OR(B589="",I589=""),"",IFERROR(INDEX('Comment flow'!$C$40:$C$46,MATCH(I589,'Comment flow'!$A$40:$A$46,0)),""))</f>
        <v/>
      </c>
      <c r="N589" s="46" t="str">
        <f aca="false">IF(B589="","",IF(OR(I589="",I589="Open: needs a decision",L589=""),"Open","Closed"))</f>
        <v/>
      </c>
      <c r="O589" s="46"/>
      <c r="P589" s="46" t="str">
        <f aca="false">IF(OR(B589="",I589&lt;&gt;"Save for a later revision"),"",IF(COUNTIF('Deferred edits'!$K$2:$K$201,A589)&gt;0,"Yes","● Add to Deferred edits"))</f>
        <v/>
      </c>
    </row>
    <row r="590" customFormat="false" ht="15" hidden="false" customHeight="false" outlineLevel="0" collapsed="false">
      <c r="A590" s="46" t="s">
        <v>885</v>
      </c>
      <c r="B590" s="46"/>
      <c r="C590" s="46"/>
      <c r="D590" s="46"/>
      <c r="E590" s="46"/>
      <c r="F590" s="46"/>
      <c r="G590" s="46"/>
      <c r="H590" s="46"/>
      <c r="I590" s="46"/>
      <c r="J590" s="46"/>
      <c r="K590" s="46"/>
      <c r="L590" s="46"/>
      <c r="M590" s="46" t="str">
        <f aca="false">IF(OR(B590="",I590=""),"",IFERROR(INDEX('Comment flow'!$C$40:$C$46,MATCH(I590,'Comment flow'!$A$40:$A$46,0)),""))</f>
        <v/>
      </c>
      <c r="N590" s="46" t="str">
        <f aca="false">IF(B590="","",IF(OR(I590="",I590="Open: needs a decision",L590=""),"Open","Closed"))</f>
        <v/>
      </c>
      <c r="O590" s="46"/>
      <c r="P590" s="46" t="str">
        <f aca="false">IF(OR(B590="",I590&lt;&gt;"Save for a later revision"),"",IF(COUNTIF('Deferred edits'!$K$2:$K$201,A590)&gt;0,"Yes","● Add to Deferred edits"))</f>
        <v/>
      </c>
    </row>
    <row r="591" customFormat="false" ht="15" hidden="false" customHeight="false" outlineLevel="0" collapsed="false">
      <c r="A591" s="46" t="s">
        <v>886</v>
      </c>
      <c r="B591" s="46"/>
      <c r="C591" s="46"/>
      <c r="D591" s="46"/>
      <c r="E591" s="46"/>
      <c r="F591" s="46"/>
      <c r="G591" s="46"/>
      <c r="H591" s="46"/>
      <c r="I591" s="46"/>
      <c r="J591" s="46"/>
      <c r="K591" s="46"/>
      <c r="L591" s="46"/>
      <c r="M591" s="46" t="str">
        <f aca="false">IF(OR(B591="",I591=""),"",IFERROR(INDEX('Comment flow'!$C$40:$C$46,MATCH(I591,'Comment flow'!$A$40:$A$46,0)),""))</f>
        <v/>
      </c>
      <c r="N591" s="46" t="str">
        <f aca="false">IF(B591="","",IF(OR(I591="",I591="Open: needs a decision",L591=""),"Open","Closed"))</f>
        <v/>
      </c>
      <c r="O591" s="46"/>
      <c r="P591" s="46" t="str">
        <f aca="false">IF(OR(B591="",I591&lt;&gt;"Save for a later revision"),"",IF(COUNTIF('Deferred edits'!$K$2:$K$201,A591)&gt;0,"Yes","● Add to Deferred edits"))</f>
        <v/>
      </c>
    </row>
    <row r="592" customFormat="false" ht="15" hidden="false" customHeight="false" outlineLevel="0" collapsed="false">
      <c r="A592" s="46" t="s">
        <v>887</v>
      </c>
      <c r="B592" s="46"/>
      <c r="C592" s="46"/>
      <c r="D592" s="46"/>
      <c r="E592" s="46"/>
      <c r="F592" s="46"/>
      <c r="G592" s="46"/>
      <c r="H592" s="46"/>
      <c r="I592" s="46"/>
      <c r="J592" s="46"/>
      <c r="K592" s="46"/>
      <c r="L592" s="46"/>
      <c r="M592" s="46" t="str">
        <f aca="false">IF(OR(B592="",I592=""),"",IFERROR(INDEX('Comment flow'!$C$40:$C$46,MATCH(I592,'Comment flow'!$A$40:$A$46,0)),""))</f>
        <v/>
      </c>
      <c r="N592" s="46" t="str">
        <f aca="false">IF(B592="","",IF(OR(I592="",I592="Open: needs a decision",L592=""),"Open","Closed"))</f>
        <v/>
      </c>
      <c r="O592" s="46"/>
      <c r="P592" s="46" t="str">
        <f aca="false">IF(OR(B592="",I592&lt;&gt;"Save for a later revision"),"",IF(COUNTIF('Deferred edits'!$K$2:$K$201,A592)&gt;0,"Yes","● Add to Deferred edits"))</f>
        <v/>
      </c>
    </row>
    <row r="593" customFormat="false" ht="15" hidden="false" customHeight="false" outlineLevel="0" collapsed="false">
      <c r="A593" s="46" t="s">
        <v>888</v>
      </c>
      <c r="B593" s="46"/>
      <c r="C593" s="46"/>
      <c r="D593" s="46"/>
      <c r="E593" s="46"/>
      <c r="F593" s="46"/>
      <c r="G593" s="46"/>
      <c r="H593" s="46"/>
      <c r="I593" s="46"/>
      <c r="J593" s="46"/>
      <c r="K593" s="46"/>
      <c r="L593" s="46"/>
      <c r="M593" s="46" t="str">
        <f aca="false">IF(OR(B593="",I593=""),"",IFERROR(INDEX('Comment flow'!$C$40:$C$46,MATCH(I593,'Comment flow'!$A$40:$A$46,0)),""))</f>
        <v/>
      </c>
      <c r="N593" s="46" t="str">
        <f aca="false">IF(B593="","",IF(OR(I593="",I593="Open: needs a decision",L593=""),"Open","Closed"))</f>
        <v/>
      </c>
      <c r="O593" s="46"/>
      <c r="P593" s="46" t="str">
        <f aca="false">IF(OR(B593="",I593&lt;&gt;"Save for a later revision"),"",IF(COUNTIF('Deferred edits'!$K$2:$K$201,A593)&gt;0,"Yes","● Add to Deferred edits"))</f>
        <v/>
      </c>
    </row>
    <row r="594" customFormat="false" ht="15" hidden="false" customHeight="false" outlineLevel="0" collapsed="false">
      <c r="A594" s="46" t="s">
        <v>889</v>
      </c>
      <c r="B594" s="46"/>
      <c r="C594" s="46"/>
      <c r="D594" s="46"/>
      <c r="E594" s="46"/>
      <c r="F594" s="46"/>
      <c r="G594" s="46"/>
      <c r="H594" s="46"/>
      <c r="I594" s="46"/>
      <c r="J594" s="46"/>
      <c r="K594" s="46"/>
      <c r="L594" s="46"/>
      <c r="M594" s="46" t="str">
        <f aca="false">IF(OR(B594="",I594=""),"",IFERROR(INDEX('Comment flow'!$C$40:$C$46,MATCH(I594,'Comment flow'!$A$40:$A$46,0)),""))</f>
        <v/>
      </c>
      <c r="N594" s="46" t="str">
        <f aca="false">IF(B594="","",IF(OR(I594="",I594="Open: needs a decision",L594=""),"Open","Closed"))</f>
        <v/>
      </c>
      <c r="O594" s="46"/>
      <c r="P594" s="46" t="str">
        <f aca="false">IF(OR(B594="",I594&lt;&gt;"Save for a later revision"),"",IF(COUNTIF('Deferred edits'!$K$2:$K$201,A594)&gt;0,"Yes","● Add to Deferred edits"))</f>
        <v/>
      </c>
    </row>
    <row r="595" customFormat="false" ht="15" hidden="false" customHeight="false" outlineLevel="0" collapsed="false">
      <c r="A595" s="46" t="s">
        <v>890</v>
      </c>
      <c r="B595" s="46"/>
      <c r="C595" s="46"/>
      <c r="D595" s="46"/>
      <c r="E595" s="46"/>
      <c r="F595" s="46"/>
      <c r="G595" s="46"/>
      <c r="H595" s="46"/>
      <c r="I595" s="46"/>
      <c r="J595" s="46"/>
      <c r="K595" s="46"/>
      <c r="L595" s="46"/>
      <c r="M595" s="46" t="str">
        <f aca="false">IF(OR(B595="",I595=""),"",IFERROR(INDEX('Comment flow'!$C$40:$C$46,MATCH(I595,'Comment flow'!$A$40:$A$46,0)),""))</f>
        <v/>
      </c>
      <c r="N595" s="46" t="str">
        <f aca="false">IF(B595="","",IF(OR(I595="",I595="Open: needs a decision",L595=""),"Open","Closed"))</f>
        <v/>
      </c>
      <c r="O595" s="46"/>
      <c r="P595" s="46" t="str">
        <f aca="false">IF(OR(B595="",I595&lt;&gt;"Save for a later revision"),"",IF(COUNTIF('Deferred edits'!$K$2:$K$201,A595)&gt;0,"Yes","● Add to Deferred edits"))</f>
        <v/>
      </c>
    </row>
    <row r="596" customFormat="false" ht="15" hidden="false" customHeight="false" outlineLevel="0" collapsed="false">
      <c r="A596" s="46" t="s">
        <v>891</v>
      </c>
      <c r="B596" s="46"/>
      <c r="C596" s="46"/>
      <c r="D596" s="46"/>
      <c r="E596" s="46"/>
      <c r="F596" s="46"/>
      <c r="G596" s="46"/>
      <c r="H596" s="46"/>
      <c r="I596" s="46"/>
      <c r="J596" s="46"/>
      <c r="K596" s="46"/>
      <c r="L596" s="46"/>
      <c r="M596" s="46" t="str">
        <f aca="false">IF(OR(B596="",I596=""),"",IFERROR(INDEX('Comment flow'!$C$40:$C$46,MATCH(I596,'Comment flow'!$A$40:$A$46,0)),""))</f>
        <v/>
      </c>
      <c r="N596" s="46" t="str">
        <f aca="false">IF(B596="","",IF(OR(I596="",I596="Open: needs a decision",L596=""),"Open","Closed"))</f>
        <v/>
      </c>
      <c r="O596" s="46"/>
      <c r="P596" s="46" t="str">
        <f aca="false">IF(OR(B596="",I596&lt;&gt;"Save for a later revision"),"",IF(COUNTIF('Deferred edits'!$K$2:$K$201,A596)&gt;0,"Yes","● Add to Deferred edits"))</f>
        <v/>
      </c>
    </row>
    <row r="597" customFormat="false" ht="15" hidden="false" customHeight="false" outlineLevel="0" collapsed="false">
      <c r="A597" s="46" t="s">
        <v>892</v>
      </c>
      <c r="B597" s="46"/>
      <c r="C597" s="46"/>
      <c r="D597" s="46"/>
      <c r="E597" s="46"/>
      <c r="F597" s="46"/>
      <c r="G597" s="46"/>
      <c r="H597" s="46"/>
      <c r="I597" s="46"/>
      <c r="J597" s="46"/>
      <c r="K597" s="46"/>
      <c r="L597" s="46"/>
      <c r="M597" s="46" t="str">
        <f aca="false">IF(OR(B597="",I597=""),"",IFERROR(INDEX('Comment flow'!$C$40:$C$46,MATCH(I597,'Comment flow'!$A$40:$A$46,0)),""))</f>
        <v/>
      </c>
      <c r="N597" s="46" t="str">
        <f aca="false">IF(B597="","",IF(OR(I597="",I597="Open: needs a decision",L597=""),"Open","Closed"))</f>
        <v/>
      </c>
      <c r="O597" s="46"/>
      <c r="P597" s="46" t="str">
        <f aca="false">IF(OR(B597="",I597&lt;&gt;"Save for a later revision"),"",IF(COUNTIF('Deferred edits'!$K$2:$K$201,A597)&gt;0,"Yes","● Add to Deferred edits"))</f>
        <v/>
      </c>
    </row>
    <row r="598" customFormat="false" ht="15" hidden="false" customHeight="false" outlineLevel="0" collapsed="false">
      <c r="A598" s="46" t="s">
        <v>893</v>
      </c>
      <c r="B598" s="46"/>
      <c r="C598" s="46"/>
      <c r="D598" s="46"/>
      <c r="E598" s="46"/>
      <c r="F598" s="46"/>
      <c r="G598" s="46"/>
      <c r="H598" s="46"/>
      <c r="I598" s="46"/>
      <c r="J598" s="46"/>
      <c r="K598" s="46"/>
      <c r="L598" s="46"/>
      <c r="M598" s="46" t="str">
        <f aca="false">IF(OR(B598="",I598=""),"",IFERROR(INDEX('Comment flow'!$C$40:$C$46,MATCH(I598,'Comment flow'!$A$40:$A$46,0)),""))</f>
        <v/>
      </c>
      <c r="N598" s="46" t="str">
        <f aca="false">IF(B598="","",IF(OR(I598="",I598="Open: needs a decision",L598=""),"Open","Closed"))</f>
        <v/>
      </c>
      <c r="O598" s="46"/>
      <c r="P598" s="46" t="str">
        <f aca="false">IF(OR(B598="",I598&lt;&gt;"Save for a later revision"),"",IF(COUNTIF('Deferred edits'!$K$2:$K$201,A598)&gt;0,"Yes","● Add to Deferred edits"))</f>
        <v/>
      </c>
    </row>
    <row r="599" customFormat="false" ht="15" hidden="false" customHeight="false" outlineLevel="0" collapsed="false">
      <c r="A599" s="46" t="s">
        <v>894</v>
      </c>
      <c r="B599" s="46"/>
      <c r="C599" s="46"/>
      <c r="D599" s="46"/>
      <c r="E599" s="46"/>
      <c r="F599" s="46"/>
      <c r="G599" s="46"/>
      <c r="H599" s="46"/>
      <c r="I599" s="46"/>
      <c r="J599" s="46"/>
      <c r="K599" s="46"/>
      <c r="L599" s="46"/>
      <c r="M599" s="46" t="str">
        <f aca="false">IF(OR(B599="",I599=""),"",IFERROR(INDEX('Comment flow'!$C$40:$C$46,MATCH(I599,'Comment flow'!$A$40:$A$46,0)),""))</f>
        <v/>
      </c>
      <c r="N599" s="46" t="str">
        <f aca="false">IF(B599="","",IF(OR(I599="",I599="Open: needs a decision",L599=""),"Open","Closed"))</f>
        <v/>
      </c>
      <c r="O599" s="46"/>
      <c r="P599" s="46" t="str">
        <f aca="false">IF(OR(B599="",I599&lt;&gt;"Save for a later revision"),"",IF(COUNTIF('Deferred edits'!$K$2:$K$201,A599)&gt;0,"Yes","● Add to Deferred edits"))</f>
        <v/>
      </c>
    </row>
    <row r="600" customFormat="false" ht="15" hidden="false" customHeight="false" outlineLevel="0" collapsed="false">
      <c r="A600" s="46" t="s">
        <v>895</v>
      </c>
      <c r="B600" s="46"/>
      <c r="C600" s="46"/>
      <c r="D600" s="46"/>
      <c r="E600" s="46"/>
      <c r="F600" s="46"/>
      <c r="G600" s="46"/>
      <c r="H600" s="46"/>
      <c r="I600" s="46"/>
      <c r="J600" s="46"/>
      <c r="K600" s="46"/>
      <c r="L600" s="46"/>
      <c r="M600" s="46" t="str">
        <f aca="false">IF(OR(B600="",I600=""),"",IFERROR(INDEX('Comment flow'!$C$40:$C$46,MATCH(I600,'Comment flow'!$A$40:$A$46,0)),""))</f>
        <v/>
      </c>
      <c r="N600" s="46" t="str">
        <f aca="false">IF(B600="","",IF(OR(I600="",I600="Open: needs a decision",L600=""),"Open","Closed"))</f>
        <v/>
      </c>
      <c r="O600" s="46"/>
      <c r="P600" s="46" t="str">
        <f aca="false">IF(OR(B600="",I600&lt;&gt;"Save for a later revision"),"",IF(COUNTIF('Deferred edits'!$K$2:$K$201,A600)&gt;0,"Yes","● Add to Deferred edits"))</f>
        <v/>
      </c>
    </row>
    <row r="601" customFormat="false" ht="15" hidden="false" customHeight="false" outlineLevel="0" collapsed="false">
      <c r="A601" s="46" t="s">
        <v>896</v>
      </c>
      <c r="B601" s="46"/>
      <c r="C601" s="46"/>
      <c r="D601" s="46"/>
      <c r="E601" s="46"/>
      <c r="F601" s="46"/>
      <c r="G601" s="46"/>
      <c r="H601" s="46"/>
      <c r="I601" s="46"/>
      <c r="J601" s="46"/>
      <c r="K601" s="46"/>
      <c r="L601" s="46"/>
      <c r="M601" s="46" t="str">
        <f aca="false">IF(OR(B601="",I601=""),"",IFERROR(INDEX('Comment flow'!$C$40:$C$46,MATCH(I601,'Comment flow'!$A$40:$A$46,0)),""))</f>
        <v/>
      </c>
      <c r="N601" s="46" t="str">
        <f aca="false">IF(B601="","",IF(OR(I601="",I601="Open: needs a decision",L601=""),"Open","Closed"))</f>
        <v/>
      </c>
      <c r="O601" s="46"/>
      <c r="P601" s="46" t="str">
        <f aca="false">IF(OR(B601="",I601&lt;&gt;"Save for a later revision"),"",IF(COUNTIF('Deferred edits'!$K$2:$K$201,A601)&gt;0,"Yes","● Add to Deferred edits"))</f>
        <v/>
      </c>
    </row>
    <row r="602" customFormat="false" ht="15" hidden="false" customHeight="false" outlineLevel="0" collapsed="false">
      <c r="A602" s="46" t="s">
        <v>897</v>
      </c>
      <c r="B602" s="46"/>
      <c r="C602" s="46"/>
      <c r="D602" s="46"/>
      <c r="E602" s="46"/>
      <c r="F602" s="46"/>
      <c r="G602" s="46"/>
      <c r="H602" s="46"/>
      <c r="I602" s="46"/>
      <c r="J602" s="46"/>
      <c r="K602" s="46"/>
      <c r="L602" s="46"/>
      <c r="M602" s="46" t="str">
        <f aca="false">IF(OR(B602="",I602=""),"",IFERROR(INDEX('Comment flow'!$C$40:$C$46,MATCH(I602,'Comment flow'!$A$40:$A$46,0)),""))</f>
        <v/>
      </c>
      <c r="N602" s="46" t="str">
        <f aca="false">IF(B602="","",IF(OR(I602="",I602="Open: needs a decision",L602=""),"Open","Closed"))</f>
        <v/>
      </c>
      <c r="O602" s="46"/>
      <c r="P602" s="46" t="str">
        <f aca="false">IF(OR(B602="",I602&lt;&gt;"Save for a later revision"),"",IF(COUNTIF('Deferred edits'!$K$2:$K$201,A602)&gt;0,"Yes","● Add to Deferred edits"))</f>
        <v/>
      </c>
    </row>
    <row r="603" customFormat="false" ht="15" hidden="false" customHeight="false" outlineLevel="0" collapsed="false">
      <c r="A603" s="46" t="s">
        <v>898</v>
      </c>
      <c r="B603" s="46"/>
      <c r="C603" s="46"/>
      <c r="D603" s="46"/>
      <c r="E603" s="46"/>
      <c r="F603" s="46"/>
      <c r="G603" s="46"/>
      <c r="H603" s="46"/>
      <c r="I603" s="46"/>
      <c r="J603" s="46"/>
      <c r="K603" s="46"/>
      <c r="L603" s="46"/>
      <c r="M603" s="46" t="str">
        <f aca="false">IF(OR(B603="",I603=""),"",IFERROR(INDEX('Comment flow'!$C$40:$C$46,MATCH(I603,'Comment flow'!$A$40:$A$46,0)),""))</f>
        <v/>
      </c>
      <c r="N603" s="46" t="str">
        <f aca="false">IF(B603="","",IF(OR(I603="",I603="Open: needs a decision",L603=""),"Open","Closed"))</f>
        <v/>
      </c>
      <c r="O603" s="46"/>
      <c r="P603" s="46" t="str">
        <f aca="false">IF(OR(B603="",I603&lt;&gt;"Save for a later revision"),"",IF(COUNTIF('Deferred edits'!$K$2:$K$201,A603)&gt;0,"Yes","● Add to Deferred edits"))</f>
        <v/>
      </c>
    </row>
    <row r="604" customFormat="false" ht="15" hidden="false" customHeight="false" outlineLevel="0" collapsed="false">
      <c r="A604" s="46" t="s">
        <v>899</v>
      </c>
      <c r="B604" s="46"/>
      <c r="C604" s="46"/>
      <c r="D604" s="46"/>
      <c r="E604" s="46"/>
      <c r="F604" s="46"/>
      <c r="G604" s="46"/>
      <c r="H604" s="46"/>
      <c r="I604" s="46"/>
      <c r="J604" s="46"/>
      <c r="K604" s="46"/>
      <c r="L604" s="46"/>
      <c r="M604" s="46" t="str">
        <f aca="false">IF(OR(B604="",I604=""),"",IFERROR(INDEX('Comment flow'!$C$40:$C$46,MATCH(I604,'Comment flow'!$A$40:$A$46,0)),""))</f>
        <v/>
      </c>
      <c r="N604" s="46" t="str">
        <f aca="false">IF(B604="","",IF(OR(I604="",I604="Open: needs a decision",L604=""),"Open","Closed"))</f>
        <v/>
      </c>
      <c r="O604" s="46"/>
      <c r="P604" s="46" t="str">
        <f aca="false">IF(OR(B604="",I604&lt;&gt;"Save for a later revision"),"",IF(COUNTIF('Deferred edits'!$K$2:$K$201,A604)&gt;0,"Yes","● Add to Deferred edits"))</f>
        <v/>
      </c>
    </row>
    <row r="605" customFormat="false" ht="15" hidden="false" customHeight="false" outlineLevel="0" collapsed="false">
      <c r="A605" s="46" t="s">
        <v>900</v>
      </c>
      <c r="B605" s="46"/>
      <c r="C605" s="46"/>
      <c r="D605" s="46"/>
      <c r="E605" s="46"/>
      <c r="F605" s="46"/>
      <c r="G605" s="46"/>
      <c r="H605" s="46"/>
      <c r="I605" s="46"/>
      <c r="J605" s="46"/>
      <c r="K605" s="46"/>
      <c r="L605" s="46"/>
      <c r="M605" s="46" t="str">
        <f aca="false">IF(OR(B605="",I605=""),"",IFERROR(INDEX('Comment flow'!$C$40:$C$46,MATCH(I605,'Comment flow'!$A$40:$A$46,0)),""))</f>
        <v/>
      </c>
      <c r="N605" s="46" t="str">
        <f aca="false">IF(B605="","",IF(OR(I605="",I605="Open: needs a decision",L605=""),"Open","Closed"))</f>
        <v/>
      </c>
      <c r="O605" s="46"/>
      <c r="P605" s="46" t="str">
        <f aca="false">IF(OR(B605="",I605&lt;&gt;"Save for a later revision"),"",IF(COUNTIF('Deferred edits'!$K$2:$K$201,A605)&gt;0,"Yes","● Add to Deferred edits"))</f>
        <v/>
      </c>
    </row>
    <row r="606" customFormat="false" ht="15" hidden="false" customHeight="false" outlineLevel="0" collapsed="false">
      <c r="A606" s="46" t="s">
        <v>901</v>
      </c>
      <c r="B606" s="46"/>
      <c r="C606" s="46"/>
      <c r="D606" s="46"/>
      <c r="E606" s="46"/>
      <c r="F606" s="46"/>
      <c r="G606" s="46"/>
      <c r="H606" s="46"/>
      <c r="I606" s="46"/>
      <c r="J606" s="46"/>
      <c r="K606" s="46"/>
      <c r="L606" s="46"/>
      <c r="M606" s="46" t="str">
        <f aca="false">IF(OR(B606="",I606=""),"",IFERROR(INDEX('Comment flow'!$C$40:$C$46,MATCH(I606,'Comment flow'!$A$40:$A$46,0)),""))</f>
        <v/>
      </c>
      <c r="N606" s="46" t="str">
        <f aca="false">IF(B606="","",IF(OR(I606="",I606="Open: needs a decision",L606=""),"Open","Closed"))</f>
        <v/>
      </c>
      <c r="O606" s="46"/>
      <c r="P606" s="46" t="str">
        <f aca="false">IF(OR(B606="",I606&lt;&gt;"Save for a later revision"),"",IF(COUNTIF('Deferred edits'!$K$2:$K$201,A606)&gt;0,"Yes","● Add to Deferred edits"))</f>
        <v/>
      </c>
    </row>
    <row r="607" customFormat="false" ht="15" hidden="false" customHeight="false" outlineLevel="0" collapsed="false">
      <c r="A607" s="46" t="s">
        <v>902</v>
      </c>
      <c r="B607" s="46"/>
      <c r="C607" s="46"/>
      <c r="D607" s="46"/>
      <c r="E607" s="46"/>
      <c r="F607" s="46"/>
      <c r="G607" s="46"/>
      <c r="H607" s="46"/>
      <c r="I607" s="46"/>
      <c r="J607" s="46"/>
      <c r="K607" s="46"/>
      <c r="L607" s="46"/>
      <c r="M607" s="46" t="str">
        <f aca="false">IF(OR(B607="",I607=""),"",IFERROR(INDEX('Comment flow'!$C$40:$C$46,MATCH(I607,'Comment flow'!$A$40:$A$46,0)),""))</f>
        <v/>
      </c>
      <c r="N607" s="46" t="str">
        <f aca="false">IF(B607="","",IF(OR(I607="",I607="Open: needs a decision",L607=""),"Open","Closed"))</f>
        <v/>
      </c>
      <c r="O607" s="46"/>
      <c r="P607" s="46" t="str">
        <f aca="false">IF(OR(B607="",I607&lt;&gt;"Save for a later revision"),"",IF(COUNTIF('Deferred edits'!$K$2:$K$201,A607)&gt;0,"Yes","● Add to Deferred edits"))</f>
        <v/>
      </c>
    </row>
    <row r="608" customFormat="false" ht="15" hidden="false" customHeight="false" outlineLevel="0" collapsed="false">
      <c r="A608" s="46" t="s">
        <v>903</v>
      </c>
      <c r="B608" s="46"/>
      <c r="C608" s="46"/>
      <c r="D608" s="46"/>
      <c r="E608" s="46"/>
      <c r="F608" s="46"/>
      <c r="G608" s="46"/>
      <c r="H608" s="46"/>
      <c r="I608" s="46"/>
      <c r="J608" s="46"/>
      <c r="K608" s="46"/>
      <c r="L608" s="46"/>
      <c r="M608" s="46" t="str">
        <f aca="false">IF(OR(B608="",I608=""),"",IFERROR(INDEX('Comment flow'!$C$40:$C$46,MATCH(I608,'Comment flow'!$A$40:$A$46,0)),""))</f>
        <v/>
      </c>
      <c r="N608" s="46" t="str">
        <f aca="false">IF(B608="","",IF(OR(I608="",I608="Open: needs a decision",L608=""),"Open","Closed"))</f>
        <v/>
      </c>
      <c r="O608" s="46"/>
      <c r="P608" s="46" t="str">
        <f aca="false">IF(OR(B608="",I608&lt;&gt;"Save for a later revision"),"",IF(COUNTIF('Deferred edits'!$K$2:$K$201,A608)&gt;0,"Yes","● Add to Deferred edits"))</f>
        <v/>
      </c>
    </row>
    <row r="609" customFormat="false" ht="15" hidden="false" customHeight="false" outlineLevel="0" collapsed="false">
      <c r="A609" s="46" t="s">
        <v>904</v>
      </c>
      <c r="B609" s="46"/>
      <c r="C609" s="46"/>
      <c r="D609" s="46"/>
      <c r="E609" s="46"/>
      <c r="F609" s="46"/>
      <c r="G609" s="46"/>
      <c r="H609" s="46"/>
      <c r="I609" s="46"/>
      <c r="J609" s="46"/>
      <c r="K609" s="46"/>
      <c r="L609" s="46"/>
      <c r="M609" s="46" t="str">
        <f aca="false">IF(OR(B609="",I609=""),"",IFERROR(INDEX('Comment flow'!$C$40:$C$46,MATCH(I609,'Comment flow'!$A$40:$A$46,0)),""))</f>
        <v/>
      </c>
      <c r="N609" s="46" t="str">
        <f aca="false">IF(B609="","",IF(OR(I609="",I609="Open: needs a decision",L609=""),"Open","Closed"))</f>
        <v/>
      </c>
      <c r="O609" s="46"/>
      <c r="P609" s="46" t="str">
        <f aca="false">IF(OR(B609="",I609&lt;&gt;"Save for a later revision"),"",IF(COUNTIF('Deferred edits'!$K$2:$K$201,A609)&gt;0,"Yes","● Add to Deferred edits"))</f>
        <v/>
      </c>
    </row>
    <row r="610" customFormat="false" ht="15" hidden="false" customHeight="false" outlineLevel="0" collapsed="false">
      <c r="A610" s="46" t="s">
        <v>905</v>
      </c>
      <c r="B610" s="46"/>
      <c r="C610" s="46"/>
      <c r="D610" s="46"/>
      <c r="E610" s="46"/>
      <c r="F610" s="46"/>
      <c r="G610" s="46"/>
      <c r="H610" s="46"/>
      <c r="I610" s="46"/>
      <c r="J610" s="46"/>
      <c r="K610" s="46"/>
      <c r="L610" s="46"/>
      <c r="M610" s="46" t="str">
        <f aca="false">IF(OR(B610="",I610=""),"",IFERROR(INDEX('Comment flow'!$C$40:$C$46,MATCH(I610,'Comment flow'!$A$40:$A$46,0)),""))</f>
        <v/>
      </c>
      <c r="N610" s="46" t="str">
        <f aca="false">IF(B610="","",IF(OR(I610="",I610="Open: needs a decision",L610=""),"Open","Closed"))</f>
        <v/>
      </c>
      <c r="O610" s="46"/>
      <c r="P610" s="46" t="str">
        <f aca="false">IF(OR(B610="",I610&lt;&gt;"Save for a later revision"),"",IF(COUNTIF('Deferred edits'!$K$2:$K$201,A610)&gt;0,"Yes","● Add to Deferred edits"))</f>
        <v/>
      </c>
    </row>
    <row r="611" customFormat="false" ht="15" hidden="false" customHeight="false" outlineLevel="0" collapsed="false">
      <c r="A611" s="46" t="s">
        <v>906</v>
      </c>
      <c r="B611" s="46"/>
      <c r="C611" s="46"/>
      <c r="D611" s="46"/>
      <c r="E611" s="46"/>
      <c r="F611" s="46"/>
      <c r="G611" s="46"/>
      <c r="H611" s="46"/>
      <c r="I611" s="46"/>
      <c r="J611" s="46"/>
      <c r="K611" s="46"/>
      <c r="L611" s="46"/>
      <c r="M611" s="46" t="str">
        <f aca="false">IF(OR(B611="",I611=""),"",IFERROR(INDEX('Comment flow'!$C$40:$C$46,MATCH(I611,'Comment flow'!$A$40:$A$46,0)),""))</f>
        <v/>
      </c>
      <c r="N611" s="46" t="str">
        <f aca="false">IF(B611="","",IF(OR(I611="",I611="Open: needs a decision",L611=""),"Open","Closed"))</f>
        <v/>
      </c>
      <c r="O611" s="46"/>
      <c r="P611" s="46" t="str">
        <f aca="false">IF(OR(B611="",I611&lt;&gt;"Save for a later revision"),"",IF(COUNTIF('Deferred edits'!$K$2:$K$201,A611)&gt;0,"Yes","● Add to Deferred edits"))</f>
        <v/>
      </c>
    </row>
    <row r="612" customFormat="false" ht="15" hidden="false" customHeight="false" outlineLevel="0" collapsed="false">
      <c r="A612" s="46" t="s">
        <v>907</v>
      </c>
      <c r="B612" s="46"/>
      <c r="C612" s="46"/>
      <c r="D612" s="46"/>
      <c r="E612" s="46"/>
      <c r="F612" s="46"/>
      <c r="G612" s="46"/>
      <c r="H612" s="46"/>
      <c r="I612" s="46"/>
      <c r="J612" s="46"/>
      <c r="K612" s="46"/>
      <c r="L612" s="46"/>
      <c r="M612" s="46" t="str">
        <f aca="false">IF(OR(B612="",I612=""),"",IFERROR(INDEX('Comment flow'!$C$40:$C$46,MATCH(I612,'Comment flow'!$A$40:$A$46,0)),""))</f>
        <v/>
      </c>
      <c r="N612" s="46" t="str">
        <f aca="false">IF(B612="","",IF(OR(I612="",I612="Open: needs a decision",L612=""),"Open","Closed"))</f>
        <v/>
      </c>
      <c r="O612" s="46"/>
      <c r="P612" s="46" t="str">
        <f aca="false">IF(OR(B612="",I612&lt;&gt;"Save for a later revision"),"",IF(COUNTIF('Deferred edits'!$K$2:$K$201,A612)&gt;0,"Yes","● Add to Deferred edits"))</f>
        <v/>
      </c>
    </row>
    <row r="613" customFormat="false" ht="15" hidden="false" customHeight="false" outlineLevel="0" collapsed="false">
      <c r="A613" s="46" t="s">
        <v>908</v>
      </c>
      <c r="B613" s="46"/>
      <c r="C613" s="46"/>
      <c r="D613" s="46"/>
      <c r="E613" s="46"/>
      <c r="F613" s="46"/>
      <c r="G613" s="46"/>
      <c r="H613" s="46"/>
      <c r="I613" s="46"/>
      <c r="J613" s="46"/>
      <c r="K613" s="46"/>
      <c r="L613" s="46"/>
      <c r="M613" s="46" t="str">
        <f aca="false">IF(OR(B613="",I613=""),"",IFERROR(INDEX('Comment flow'!$C$40:$C$46,MATCH(I613,'Comment flow'!$A$40:$A$46,0)),""))</f>
        <v/>
      </c>
      <c r="N613" s="46" t="str">
        <f aca="false">IF(B613="","",IF(OR(I613="",I613="Open: needs a decision",L613=""),"Open","Closed"))</f>
        <v/>
      </c>
      <c r="O613" s="46"/>
      <c r="P613" s="46" t="str">
        <f aca="false">IF(OR(B613="",I613&lt;&gt;"Save for a later revision"),"",IF(COUNTIF('Deferred edits'!$K$2:$K$201,A613)&gt;0,"Yes","● Add to Deferred edits"))</f>
        <v/>
      </c>
    </row>
    <row r="614" customFormat="false" ht="15" hidden="false" customHeight="false" outlineLevel="0" collapsed="false">
      <c r="A614" s="46" t="s">
        <v>909</v>
      </c>
      <c r="B614" s="46"/>
      <c r="C614" s="46"/>
      <c r="D614" s="46"/>
      <c r="E614" s="46"/>
      <c r="F614" s="46"/>
      <c r="G614" s="46"/>
      <c r="H614" s="46"/>
      <c r="I614" s="46"/>
      <c r="J614" s="46"/>
      <c r="K614" s="46"/>
      <c r="L614" s="46"/>
      <c r="M614" s="46" t="str">
        <f aca="false">IF(OR(B614="",I614=""),"",IFERROR(INDEX('Comment flow'!$C$40:$C$46,MATCH(I614,'Comment flow'!$A$40:$A$46,0)),""))</f>
        <v/>
      </c>
      <c r="N614" s="46" t="str">
        <f aca="false">IF(B614="","",IF(OR(I614="",I614="Open: needs a decision",L614=""),"Open","Closed"))</f>
        <v/>
      </c>
      <c r="O614" s="46"/>
      <c r="P614" s="46" t="str">
        <f aca="false">IF(OR(B614="",I614&lt;&gt;"Save for a later revision"),"",IF(COUNTIF('Deferred edits'!$K$2:$K$201,A614)&gt;0,"Yes","● Add to Deferred edits"))</f>
        <v/>
      </c>
    </row>
    <row r="615" customFormat="false" ht="15" hidden="false" customHeight="false" outlineLevel="0" collapsed="false">
      <c r="A615" s="46" t="s">
        <v>910</v>
      </c>
      <c r="B615" s="46"/>
      <c r="C615" s="46"/>
      <c r="D615" s="46"/>
      <c r="E615" s="46"/>
      <c r="F615" s="46"/>
      <c r="G615" s="46"/>
      <c r="H615" s="46"/>
      <c r="I615" s="46"/>
      <c r="J615" s="46"/>
      <c r="K615" s="46"/>
      <c r="L615" s="46"/>
      <c r="M615" s="46" t="str">
        <f aca="false">IF(OR(B615="",I615=""),"",IFERROR(INDEX('Comment flow'!$C$40:$C$46,MATCH(I615,'Comment flow'!$A$40:$A$46,0)),""))</f>
        <v/>
      </c>
      <c r="N615" s="46" t="str">
        <f aca="false">IF(B615="","",IF(OR(I615="",I615="Open: needs a decision",L615=""),"Open","Closed"))</f>
        <v/>
      </c>
      <c r="O615" s="46"/>
      <c r="P615" s="46" t="str">
        <f aca="false">IF(OR(B615="",I615&lt;&gt;"Save for a later revision"),"",IF(COUNTIF('Deferred edits'!$K$2:$K$201,A615)&gt;0,"Yes","● Add to Deferred edits"))</f>
        <v/>
      </c>
    </row>
    <row r="616" customFormat="false" ht="15" hidden="false" customHeight="false" outlineLevel="0" collapsed="false">
      <c r="A616" s="46" t="s">
        <v>911</v>
      </c>
      <c r="B616" s="46"/>
      <c r="C616" s="46"/>
      <c r="D616" s="46"/>
      <c r="E616" s="46"/>
      <c r="F616" s="46"/>
      <c r="G616" s="46"/>
      <c r="H616" s="46"/>
      <c r="I616" s="46"/>
      <c r="J616" s="46"/>
      <c r="K616" s="46"/>
      <c r="L616" s="46"/>
      <c r="M616" s="46" t="str">
        <f aca="false">IF(OR(B616="",I616=""),"",IFERROR(INDEX('Comment flow'!$C$40:$C$46,MATCH(I616,'Comment flow'!$A$40:$A$46,0)),""))</f>
        <v/>
      </c>
      <c r="N616" s="46" t="str">
        <f aca="false">IF(B616="","",IF(OR(I616="",I616="Open: needs a decision",L616=""),"Open","Closed"))</f>
        <v/>
      </c>
      <c r="O616" s="46"/>
      <c r="P616" s="46" t="str">
        <f aca="false">IF(OR(B616="",I616&lt;&gt;"Save for a later revision"),"",IF(COUNTIF('Deferred edits'!$K$2:$K$201,A616)&gt;0,"Yes","● Add to Deferred edits"))</f>
        <v/>
      </c>
    </row>
    <row r="617" customFormat="false" ht="15" hidden="false" customHeight="false" outlineLevel="0" collapsed="false">
      <c r="A617" s="46" t="s">
        <v>912</v>
      </c>
      <c r="B617" s="46"/>
      <c r="C617" s="46"/>
      <c r="D617" s="46"/>
      <c r="E617" s="46"/>
      <c r="F617" s="46"/>
      <c r="G617" s="46"/>
      <c r="H617" s="46"/>
      <c r="I617" s="46"/>
      <c r="J617" s="46"/>
      <c r="K617" s="46"/>
      <c r="L617" s="46"/>
      <c r="M617" s="46" t="str">
        <f aca="false">IF(OR(B617="",I617=""),"",IFERROR(INDEX('Comment flow'!$C$40:$C$46,MATCH(I617,'Comment flow'!$A$40:$A$46,0)),""))</f>
        <v/>
      </c>
      <c r="N617" s="46" t="str">
        <f aca="false">IF(B617="","",IF(OR(I617="",I617="Open: needs a decision",L617=""),"Open","Closed"))</f>
        <v/>
      </c>
      <c r="O617" s="46"/>
      <c r="P617" s="46" t="str">
        <f aca="false">IF(OR(B617="",I617&lt;&gt;"Save for a later revision"),"",IF(COUNTIF('Deferred edits'!$K$2:$K$201,A617)&gt;0,"Yes","● Add to Deferred edits"))</f>
        <v/>
      </c>
    </row>
    <row r="618" customFormat="false" ht="15" hidden="false" customHeight="false" outlineLevel="0" collapsed="false">
      <c r="A618" s="46" t="s">
        <v>913</v>
      </c>
      <c r="B618" s="46"/>
      <c r="C618" s="46"/>
      <c r="D618" s="46"/>
      <c r="E618" s="46"/>
      <c r="F618" s="46"/>
      <c r="G618" s="46"/>
      <c r="H618" s="46"/>
      <c r="I618" s="46"/>
      <c r="J618" s="46"/>
      <c r="K618" s="46"/>
      <c r="L618" s="46"/>
      <c r="M618" s="46" t="str">
        <f aca="false">IF(OR(B618="",I618=""),"",IFERROR(INDEX('Comment flow'!$C$40:$C$46,MATCH(I618,'Comment flow'!$A$40:$A$46,0)),""))</f>
        <v/>
      </c>
      <c r="N618" s="46" t="str">
        <f aca="false">IF(B618="","",IF(OR(I618="",I618="Open: needs a decision",L618=""),"Open","Closed"))</f>
        <v/>
      </c>
      <c r="O618" s="46"/>
      <c r="P618" s="46" t="str">
        <f aca="false">IF(OR(B618="",I618&lt;&gt;"Save for a later revision"),"",IF(COUNTIF('Deferred edits'!$K$2:$K$201,A618)&gt;0,"Yes","● Add to Deferred edits"))</f>
        <v/>
      </c>
    </row>
    <row r="619" customFormat="false" ht="15" hidden="false" customHeight="false" outlineLevel="0" collapsed="false">
      <c r="A619" s="46" t="s">
        <v>914</v>
      </c>
      <c r="B619" s="46"/>
      <c r="C619" s="46"/>
      <c r="D619" s="46"/>
      <c r="E619" s="46"/>
      <c r="F619" s="46"/>
      <c r="G619" s="46"/>
      <c r="H619" s="46"/>
      <c r="I619" s="46"/>
      <c r="J619" s="46"/>
      <c r="K619" s="46"/>
      <c r="L619" s="46"/>
      <c r="M619" s="46" t="str">
        <f aca="false">IF(OR(B619="",I619=""),"",IFERROR(INDEX('Comment flow'!$C$40:$C$46,MATCH(I619,'Comment flow'!$A$40:$A$46,0)),""))</f>
        <v/>
      </c>
      <c r="N619" s="46" t="str">
        <f aca="false">IF(B619="","",IF(OR(I619="",I619="Open: needs a decision",L619=""),"Open","Closed"))</f>
        <v/>
      </c>
      <c r="O619" s="46"/>
      <c r="P619" s="46" t="str">
        <f aca="false">IF(OR(B619="",I619&lt;&gt;"Save for a later revision"),"",IF(COUNTIF('Deferred edits'!$K$2:$K$201,A619)&gt;0,"Yes","● Add to Deferred edits"))</f>
        <v/>
      </c>
    </row>
    <row r="620" customFormat="false" ht="15" hidden="false" customHeight="false" outlineLevel="0" collapsed="false">
      <c r="A620" s="46" t="s">
        <v>915</v>
      </c>
      <c r="B620" s="46"/>
      <c r="C620" s="46"/>
      <c r="D620" s="46"/>
      <c r="E620" s="46"/>
      <c r="F620" s="46"/>
      <c r="G620" s="46"/>
      <c r="H620" s="46"/>
      <c r="I620" s="46"/>
      <c r="J620" s="46"/>
      <c r="K620" s="46"/>
      <c r="L620" s="46"/>
      <c r="M620" s="46" t="str">
        <f aca="false">IF(OR(B620="",I620=""),"",IFERROR(INDEX('Comment flow'!$C$40:$C$46,MATCH(I620,'Comment flow'!$A$40:$A$46,0)),""))</f>
        <v/>
      </c>
      <c r="N620" s="46" t="str">
        <f aca="false">IF(B620="","",IF(OR(I620="",I620="Open: needs a decision",L620=""),"Open","Closed"))</f>
        <v/>
      </c>
      <c r="O620" s="46"/>
      <c r="P620" s="46" t="str">
        <f aca="false">IF(OR(B620="",I620&lt;&gt;"Save for a later revision"),"",IF(COUNTIF('Deferred edits'!$K$2:$K$201,A620)&gt;0,"Yes","● Add to Deferred edits"))</f>
        <v/>
      </c>
    </row>
    <row r="621" customFormat="false" ht="15" hidden="false" customHeight="false" outlineLevel="0" collapsed="false">
      <c r="A621" s="46" t="s">
        <v>916</v>
      </c>
      <c r="B621" s="46"/>
      <c r="C621" s="46"/>
      <c r="D621" s="46"/>
      <c r="E621" s="46"/>
      <c r="F621" s="46"/>
      <c r="G621" s="46"/>
      <c r="H621" s="46"/>
      <c r="I621" s="46"/>
      <c r="J621" s="46"/>
      <c r="K621" s="46"/>
      <c r="L621" s="46"/>
      <c r="M621" s="46" t="str">
        <f aca="false">IF(OR(B621="",I621=""),"",IFERROR(INDEX('Comment flow'!$C$40:$C$46,MATCH(I621,'Comment flow'!$A$40:$A$46,0)),""))</f>
        <v/>
      </c>
      <c r="N621" s="46" t="str">
        <f aca="false">IF(B621="","",IF(OR(I621="",I621="Open: needs a decision",L621=""),"Open","Closed"))</f>
        <v/>
      </c>
      <c r="O621" s="46"/>
      <c r="P621" s="46" t="str">
        <f aca="false">IF(OR(B621="",I621&lt;&gt;"Save for a later revision"),"",IF(COUNTIF('Deferred edits'!$K$2:$K$201,A621)&gt;0,"Yes","● Add to Deferred edits"))</f>
        <v/>
      </c>
    </row>
    <row r="622" customFormat="false" ht="15" hidden="false" customHeight="false" outlineLevel="0" collapsed="false">
      <c r="A622" s="46" t="s">
        <v>917</v>
      </c>
      <c r="B622" s="46"/>
      <c r="C622" s="46"/>
      <c r="D622" s="46"/>
      <c r="E622" s="46"/>
      <c r="F622" s="46"/>
      <c r="G622" s="46"/>
      <c r="H622" s="46"/>
      <c r="I622" s="46"/>
      <c r="J622" s="46"/>
      <c r="K622" s="46"/>
      <c r="L622" s="46"/>
      <c r="M622" s="46" t="str">
        <f aca="false">IF(OR(B622="",I622=""),"",IFERROR(INDEX('Comment flow'!$C$40:$C$46,MATCH(I622,'Comment flow'!$A$40:$A$46,0)),""))</f>
        <v/>
      </c>
      <c r="N622" s="46" t="str">
        <f aca="false">IF(B622="","",IF(OR(I622="",I622="Open: needs a decision",L622=""),"Open","Closed"))</f>
        <v/>
      </c>
      <c r="O622" s="46"/>
      <c r="P622" s="46" t="str">
        <f aca="false">IF(OR(B622="",I622&lt;&gt;"Save for a later revision"),"",IF(COUNTIF('Deferred edits'!$K$2:$K$201,A622)&gt;0,"Yes","● Add to Deferred edits"))</f>
        <v/>
      </c>
    </row>
    <row r="623" customFormat="false" ht="15" hidden="false" customHeight="false" outlineLevel="0" collapsed="false">
      <c r="A623" s="46" t="s">
        <v>918</v>
      </c>
      <c r="B623" s="46"/>
      <c r="C623" s="46"/>
      <c r="D623" s="46"/>
      <c r="E623" s="46"/>
      <c r="F623" s="46"/>
      <c r="G623" s="46"/>
      <c r="H623" s="46"/>
      <c r="I623" s="46"/>
      <c r="J623" s="46"/>
      <c r="K623" s="46"/>
      <c r="L623" s="46"/>
      <c r="M623" s="46" t="str">
        <f aca="false">IF(OR(B623="",I623=""),"",IFERROR(INDEX('Comment flow'!$C$40:$C$46,MATCH(I623,'Comment flow'!$A$40:$A$46,0)),""))</f>
        <v/>
      </c>
      <c r="N623" s="46" t="str">
        <f aca="false">IF(B623="","",IF(OR(I623="",I623="Open: needs a decision",L623=""),"Open","Closed"))</f>
        <v/>
      </c>
      <c r="O623" s="46"/>
      <c r="P623" s="46" t="str">
        <f aca="false">IF(OR(B623="",I623&lt;&gt;"Save for a later revision"),"",IF(COUNTIF('Deferred edits'!$K$2:$K$201,A623)&gt;0,"Yes","● Add to Deferred edits"))</f>
        <v/>
      </c>
    </row>
    <row r="624" customFormat="false" ht="15" hidden="false" customHeight="false" outlineLevel="0" collapsed="false">
      <c r="A624" s="46" t="s">
        <v>919</v>
      </c>
      <c r="B624" s="46"/>
      <c r="C624" s="46"/>
      <c r="D624" s="46"/>
      <c r="E624" s="46"/>
      <c r="F624" s="46"/>
      <c r="G624" s="46"/>
      <c r="H624" s="46"/>
      <c r="I624" s="46"/>
      <c r="J624" s="46"/>
      <c r="K624" s="46"/>
      <c r="L624" s="46"/>
      <c r="M624" s="46" t="str">
        <f aca="false">IF(OR(B624="",I624=""),"",IFERROR(INDEX('Comment flow'!$C$40:$C$46,MATCH(I624,'Comment flow'!$A$40:$A$46,0)),""))</f>
        <v/>
      </c>
      <c r="N624" s="46" t="str">
        <f aca="false">IF(B624="","",IF(OR(I624="",I624="Open: needs a decision",L624=""),"Open","Closed"))</f>
        <v/>
      </c>
      <c r="O624" s="46"/>
      <c r="P624" s="46" t="str">
        <f aca="false">IF(OR(B624="",I624&lt;&gt;"Save for a later revision"),"",IF(COUNTIF('Deferred edits'!$K$2:$K$201,A624)&gt;0,"Yes","● Add to Deferred edits"))</f>
        <v/>
      </c>
    </row>
    <row r="625" customFormat="false" ht="15" hidden="false" customHeight="false" outlineLevel="0" collapsed="false">
      <c r="A625" s="46" t="s">
        <v>920</v>
      </c>
      <c r="B625" s="46"/>
      <c r="C625" s="46"/>
      <c r="D625" s="46"/>
      <c r="E625" s="46"/>
      <c r="F625" s="46"/>
      <c r="G625" s="46"/>
      <c r="H625" s="46"/>
      <c r="I625" s="46"/>
      <c r="J625" s="46"/>
      <c r="K625" s="46"/>
      <c r="L625" s="46"/>
      <c r="M625" s="46" t="str">
        <f aca="false">IF(OR(B625="",I625=""),"",IFERROR(INDEX('Comment flow'!$C$40:$C$46,MATCH(I625,'Comment flow'!$A$40:$A$46,0)),""))</f>
        <v/>
      </c>
      <c r="N625" s="46" t="str">
        <f aca="false">IF(B625="","",IF(OR(I625="",I625="Open: needs a decision",L625=""),"Open","Closed"))</f>
        <v/>
      </c>
      <c r="O625" s="46"/>
      <c r="P625" s="46" t="str">
        <f aca="false">IF(OR(B625="",I625&lt;&gt;"Save for a later revision"),"",IF(COUNTIF('Deferred edits'!$K$2:$K$201,A625)&gt;0,"Yes","● Add to Deferred edits"))</f>
        <v/>
      </c>
    </row>
    <row r="626" customFormat="false" ht="15" hidden="false" customHeight="false" outlineLevel="0" collapsed="false">
      <c r="A626" s="46" t="s">
        <v>921</v>
      </c>
      <c r="B626" s="46"/>
      <c r="C626" s="46"/>
      <c r="D626" s="46"/>
      <c r="E626" s="46"/>
      <c r="F626" s="46"/>
      <c r="G626" s="46"/>
      <c r="H626" s="46"/>
      <c r="I626" s="46"/>
      <c r="J626" s="46"/>
      <c r="K626" s="46"/>
      <c r="L626" s="46"/>
      <c r="M626" s="46" t="str">
        <f aca="false">IF(OR(B626="",I626=""),"",IFERROR(INDEX('Comment flow'!$C$40:$C$46,MATCH(I626,'Comment flow'!$A$40:$A$46,0)),""))</f>
        <v/>
      </c>
      <c r="N626" s="46" t="str">
        <f aca="false">IF(B626="","",IF(OR(I626="",I626="Open: needs a decision",L626=""),"Open","Closed"))</f>
        <v/>
      </c>
      <c r="O626" s="46"/>
      <c r="P626" s="46" t="str">
        <f aca="false">IF(OR(B626="",I626&lt;&gt;"Save for a later revision"),"",IF(COUNTIF('Deferred edits'!$K$2:$K$201,A626)&gt;0,"Yes","● Add to Deferred edits"))</f>
        <v/>
      </c>
    </row>
    <row r="627" customFormat="false" ht="15" hidden="false" customHeight="false" outlineLevel="0" collapsed="false">
      <c r="A627" s="46" t="s">
        <v>922</v>
      </c>
      <c r="B627" s="46"/>
      <c r="C627" s="46"/>
      <c r="D627" s="46"/>
      <c r="E627" s="46"/>
      <c r="F627" s="46"/>
      <c r="G627" s="46"/>
      <c r="H627" s="46"/>
      <c r="I627" s="46"/>
      <c r="J627" s="46"/>
      <c r="K627" s="46"/>
      <c r="L627" s="46"/>
      <c r="M627" s="46" t="str">
        <f aca="false">IF(OR(B627="",I627=""),"",IFERROR(INDEX('Comment flow'!$C$40:$C$46,MATCH(I627,'Comment flow'!$A$40:$A$46,0)),""))</f>
        <v/>
      </c>
      <c r="N627" s="46" t="str">
        <f aca="false">IF(B627="","",IF(OR(I627="",I627="Open: needs a decision",L627=""),"Open","Closed"))</f>
        <v/>
      </c>
      <c r="O627" s="46"/>
      <c r="P627" s="46" t="str">
        <f aca="false">IF(OR(B627="",I627&lt;&gt;"Save for a later revision"),"",IF(COUNTIF('Deferred edits'!$K$2:$K$201,A627)&gt;0,"Yes","● Add to Deferred edits"))</f>
        <v/>
      </c>
    </row>
    <row r="628" customFormat="false" ht="15" hidden="false" customHeight="false" outlineLevel="0" collapsed="false">
      <c r="A628" s="46" t="s">
        <v>923</v>
      </c>
      <c r="B628" s="46"/>
      <c r="C628" s="46"/>
      <c r="D628" s="46"/>
      <c r="E628" s="46"/>
      <c r="F628" s="46"/>
      <c r="G628" s="46"/>
      <c r="H628" s="46"/>
      <c r="I628" s="46"/>
      <c r="J628" s="46"/>
      <c r="K628" s="46"/>
      <c r="L628" s="46"/>
      <c r="M628" s="46" t="str">
        <f aca="false">IF(OR(B628="",I628=""),"",IFERROR(INDEX('Comment flow'!$C$40:$C$46,MATCH(I628,'Comment flow'!$A$40:$A$46,0)),""))</f>
        <v/>
      </c>
      <c r="N628" s="46" t="str">
        <f aca="false">IF(B628="","",IF(OR(I628="",I628="Open: needs a decision",L628=""),"Open","Closed"))</f>
        <v/>
      </c>
      <c r="O628" s="46"/>
      <c r="P628" s="46" t="str">
        <f aca="false">IF(OR(B628="",I628&lt;&gt;"Save for a later revision"),"",IF(COUNTIF('Deferred edits'!$K$2:$K$201,A628)&gt;0,"Yes","● Add to Deferred edits"))</f>
        <v/>
      </c>
    </row>
    <row r="629" customFormat="false" ht="15" hidden="false" customHeight="false" outlineLevel="0" collapsed="false">
      <c r="A629" s="46" t="s">
        <v>924</v>
      </c>
      <c r="B629" s="46"/>
      <c r="C629" s="46"/>
      <c r="D629" s="46"/>
      <c r="E629" s="46"/>
      <c r="F629" s="46"/>
      <c r="G629" s="46"/>
      <c r="H629" s="46"/>
      <c r="I629" s="46"/>
      <c r="J629" s="46"/>
      <c r="K629" s="46"/>
      <c r="L629" s="46"/>
      <c r="M629" s="46" t="str">
        <f aca="false">IF(OR(B629="",I629=""),"",IFERROR(INDEX('Comment flow'!$C$40:$C$46,MATCH(I629,'Comment flow'!$A$40:$A$46,0)),""))</f>
        <v/>
      </c>
      <c r="N629" s="46" t="str">
        <f aca="false">IF(B629="","",IF(OR(I629="",I629="Open: needs a decision",L629=""),"Open","Closed"))</f>
        <v/>
      </c>
      <c r="O629" s="46"/>
      <c r="P629" s="46" t="str">
        <f aca="false">IF(OR(B629="",I629&lt;&gt;"Save for a later revision"),"",IF(COUNTIF('Deferred edits'!$K$2:$K$201,A629)&gt;0,"Yes","● Add to Deferred edits"))</f>
        <v/>
      </c>
    </row>
    <row r="630" customFormat="false" ht="15" hidden="false" customHeight="false" outlineLevel="0" collapsed="false">
      <c r="A630" s="46" t="s">
        <v>925</v>
      </c>
      <c r="B630" s="46"/>
      <c r="C630" s="46"/>
      <c r="D630" s="46"/>
      <c r="E630" s="46"/>
      <c r="F630" s="46"/>
      <c r="G630" s="46"/>
      <c r="H630" s="46"/>
      <c r="I630" s="46"/>
      <c r="J630" s="46"/>
      <c r="K630" s="46"/>
      <c r="L630" s="46"/>
      <c r="M630" s="46" t="str">
        <f aca="false">IF(OR(B630="",I630=""),"",IFERROR(INDEX('Comment flow'!$C$40:$C$46,MATCH(I630,'Comment flow'!$A$40:$A$46,0)),""))</f>
        <v/>
      </c>
      <c r="N630" s="46" t="str">
        <f aca="false">IF(B630="","",IF(OR(I630="",I630="Open: needs a decision",L630=""),"Open","Closed"))</f>
        <v/>
      </c>
      <c r="O630" s="46"/>
      <c r="P630" s="46" t="str">
        <f aca="false">IF(OR(B630="",I630&lt;&gt;"Save for a later revision"),"",IF(COUNTIF('Deferred edits'!$K$2:$K$201,A630)&gt;0,"Yes","● Add to Deferred edits"))</f>
        <v/>
      </c>
    </row>
    <row r="631" customFormat="false" ht="15" hidden="false" customHeight="false" outlineLevel="0" collapsed="false">
      <c r="A631" s="46" t="s">
        <v>926</v>
      </c>
      <c r="B631" s="46"/>
      <c r="C631" s="46"/>
      <c r="D631" s="46"/>
      <c r="E631" s="46"/>
      <c r="F631" s="46"/>
      <c r="G631" s="46"/>
      <c r="H631" s="46"/>
      <c r="I631" s="46"/>
      <c r="J631" s="46"/>
      <c r="K631" s="46"/>
      <c r="L631" s="46"/>
      <c r="M631" s="46" t="str">
        <f aca="false">IF(OR(B631="",I631=""),"",IFERROR(INDEX('Comment flow'!$C$40:$C$46,MATCH(I631,'Comment flow'!$A$40:$A$46,0)),""))</f>
        <v/>
      </c>
      <c r="N631" s="46" t="str">
        <f aca="false">IF(B631="","",IF(OR(I631="",I631="Open: needs a decision",L631=""),"Open","Closed"))</f>
        <v/>
      </c>
      <c r="O631" s="46"/>
      <c r="P631" s="46" t="str">
        <f aca="false">IF(OR(B631="",I631&lt;&gt;"Save for a later revision"),"",IF(COUNTIF('Deferred edits'!$K$2:$K$201,A631)&gt;0,"Yes","● Add to Deferred edits"))</f>
        <v/>
      </c>
    </row>
    <row r="632" customFormat="false" ht="15" hidden="false" customHeight="false" outlineLevel="0" collapsed="false">
      <c r="A632" s="46" t="s">
        <v>927</v>
      </c>
      <c r="B632" s="46"/>
      <c r="C632" s="46"/>
      <c r="D632" s="46"/>
      <c r="E632" s="46"/>
      <c r="F632" s="46"/>
      <c r="G632" s="46"/>
      <c r="H632" s="46"/>
      <c r="I632" s="46"/>
      <c r="J632" s="46"/>
      <c r="K632" s="46"/>
      <c r="L632" s="46"/>
      <c r="M632" s="46" t="str">
        <f aca="false">IF(OR(B632="",I632=""),"",IFERROR(INDEX('Comment flow'!$C$40:$C$46,MATCH(I632,'Comment flow'!$A$40:$A$46,0)),""))</f>
        <v/>
      </c>
      <c r="N632" s="46" t="str">
        <f aca="false">IF(B632="","",IF(OR(I632="",I632="Open: needs a decision",L632=""),"Open","Closed"))</f>
        <v/>
      </c>
      <c r="O632" s="46"/>
      <c r="P632" s="46" t="str">
        <f aca="false">IF(OR(B632="",I632&lt;&gt;"Save for a later revision"),"",IF(COUNTIF('Deferred edits'!$K$2:$K$201,A632)&gt;0,"Yes","● Add to Deferred edits"))</f>
        <v/>
      </c>
    </row>
    <row r="633" customFormat="false" ht="15" hidden="false" customHeight="false" outlineLevel="0" collapsed="false">
      <c r="A633" s="46" t="s">
        <v>928</v>
      </c>
      <c r="B633" s="46"/>
      <c r="C633" s="46"/>
      <c r="D633" s="46"/>
      <c r="E633" s="46"/>
      <c r="F633" s="46"/>
      <c r="G633" s="46"/>
      <c r="H633" s="46"/>
      <c r="I633" s="46"/>
      <c r="J633" s="46"/>
      <c r="K633" s="46"/>
      <c r="L633" s="46"/>
      <c r="M633" s="46" t="str">
        <f aca="false">IF(OR(B633="",I633=""),"",IFERROR(INDEX('Comment flow'!$C$40:$C$46,MATCH(I633,'Comment flow'!$A$40:$A$46,0)),""))</f>
        <v/>
      </c>
      <c r="N633" s="46" t="str">
        <f aca="false">IF(B633="","",IF(OR(I633="",I633="Open: needs a decision",L633=""),"Open","Closed"))</f>
        <v/>
      </c>
      <c r="O633" s="46"/>
      <c r="P633" s="46" t="str">
        <f aca="false">IF(OR(B633="",I633&lt;&gt;"Save for a later revision"),"",IF(COUNTIF('Deferred edits'!$K$2:$K$201,A633)&gt;0,"Yes","● Add to Deferred edits"))</f>
        <v/>
      </c>
    </row>
    <row r="634" customFormat="false" ht="15" hidden="false" customHeight="false" outlineLevel="0" collapsed="false">
      <c r="A634" s="46" t="s">
        <v>929</v>
      </c>
      <c r="B634" s="46"/>
      <c r="C634" s="46"/>
      <c r="D634" s="46"/>
      <c r="E634" s="46"/>
      <c r="F634" s="46"/>
      <c r="G634" s="46"/>
      <c r="H634" s="46"/>
      <c r="I634" s="46"/>
      <c r="J634" s="46"/>
      <c r="K634" s="46"/>
      <c r="L634" s="46"/>
      <c r="M634" s="46" t="str">
        <f aca="false">IF(OR(B634="",I634=""),"",IFERROR(INDEX('Comment flow'!$C$40:$C$46,MATCH(I634,'Comment flow'!$A$40:$A$46,0)),""))</f>
        <v/>
      </c>
      <c r="N634" s="46" t="str">
        <f aca="false">IF(B634="","",IF(OR(I634="",I634="Open: needs a decision",L634=""),"Open","Closed"))</f>
        <v/>
      </c>
      <c r="O634" s="46"/>
      <c r="P634" s="46" t="str">
        <f aca="false">IF(OR(B634="",I634&lt;&gt;"Save for a later revision"),"",IF(COUNTIF('Deferred edits'!$K$2:$K$201,A634)&gt;0,"Yes","● Add to Deferred edits"))</f>
        <v/>
      </c>
    </row>
    <row r="635" customFormat="false" ht="15" hidden="false" customHeight="false" outlineLevel="0" collapsed="false">
      <c r="A635" s="46" t="s">
        <v>930</v>
      </c>
      <c r="B635" s="46"/>
      <c r="C635" s="46"/>
      <c r="D635" s="46"/>
      <c r="E635" s="46"/>
      <c r="F635" s="46"/>
      <c r="G635" s="46"/>
      <c r="H635" s="46"/>
      <c r="I635" s="46"/>
      <c r="J635" s="46"/>
      <c r="K635" s="46"/>
      <c r="L635" s="46"/>
      <c r="M635" s="46" t="str">
        <f aca="false">IF(OR(B635="",I635=""),"",IFERROR(INDEX('Comment flow'!$C$40:$C$46,MATCH(I635,'Comment flow'!$A$40:$A$46,0)),""))</f>
        <v/>
      </c>
      <c r="N635" s="46" t="str">
        <f aca="false">IF(B635="","",IF(OR(I635="",I635="Open: needs a decision",L635=""),"Open","Closed"))</f>
        <v/>
      </c>
      <c r="O635" s="46"/>
      <c r="P635" s="46" t="str">
        <f aca="false">IF(OR(B635="",I635&lt;&gt;"Save for a later revision"),"",IF(COUNTIF('Deferred edits'!$K$2:$K$201,A635)&gt;0,"Yes","● Add to Deferred edits"))</f>
        <v/>
      </c>
    </row>
    <row r="636" customFormat="false" ht="15" hidden="false" customHeight="false" outlineLevel="0" collapsed="false">
      <c r="A636" s="46" t="s">
        <v>931</v>
      </c>
      <c r="B636" s="46"/>
      <c r="C636" s="46"/>
      <c r="D636" s="46"/>
      <c r="E636" s="46"/>
      <c r="F636" s="46"/>
      <c r="G636" s="46"/>
      <c r="H636" s="46"/>
      <c r="I636" s="46"/>
      <c r="J636" s="46"/>
      <c r="K636" s="46"/>
      <c r="L636" s="46"/>
      <c r="M636" s="46" t="str">
        <f aca="false">IF(OR(B636="",I636=""),"",IFERROR(INDEX('Comment flow'!$C$40:$C$46,MATCH(I636,'Comment flow'!$A$40:$A$46,0)),""))</f>
        <v/>
      </c>
      <c r="N636" s="46" t="str">
        <f aca="false">IF(B636="","",IF(OR(I636="",I636="Open: needs a decision",L636=""),"Open","Closed"))</f>
        <v/>
      </c>
      <c r="O636" s="46"/>
      <c r="P636" s="46" t="str">
        <f aca="false">IF(OR(B636="",I636&lt;&gt;"Save for a later revision"),"",IF(COUNTIF('Deferred edits'!$K$2:$K$201,A636)&gt;0,"Yes","● Add to Deferred edits"))</f>
        <v/>
      </c>
    </row>
    <row r="637" customFormat="false" ht="15" hidden="false" customHeight="false" outlineLevel="0" collapsed="false">
      <c r="A637" s="46" t="s">
        <v>932</v>
      </c>
      <c r="B637" s="46"/>
      <c r="C637" s="46"/>
      <c r="D637" s="46"/>
      <c r="E637" s="46"/>
      <c r="F637" s="46"/>
      <c r="G637" s="46"/>
      <c r="H637" s="46"/>
      <c r="I637" s="46"/>
      <c r="J637" s="46"/>
      <c r="K637" s="46"/>
      <c r="L637" s="46"/>
      <c r="M637" s="46" t="str">
        <f aca="false">IF(OR(B637="",I637=""),"",IFERROR(INDEX('Comment flow'!$C$40:$C$46,MATCH(I637,'Comment flow'!$A$40:$A$46,0)),""))</f>
        <v/>
      </c>
      <c r="N637" s="46" t="str">
        <f aca="false">IF(B637="","",IF(OR(I637="",I637="Open: needs a decision",L637=""),"Open","Closed"))</f>
        <v/>
      </c>
      <c r="O637" s="46"/>
      <c r="P637" s="46" t="str">
        <f aca="false">IF(OR(B637="",I637&lt;&gt;"Save for a later revision"),"",IF(COUNTIF('Deferred edits'!$K$2:$K$201,A637)&gt;0,"Yes","● Add to Deferred edits"))</f>
        <v/>
      </c>
    </row>
    <row r="638" customFormat="false" ht="15" hidden="false" customHeight="false" outlineLevel="0" collapsed="false">
      <c r="A638" s="46" t="s">
        <v>933</v>
      </c>
      <c r="B638" s="46"/>
      <c r="C638" s="46"/>
      <c r="D638" s="46"/>
      <c r="E638" s="46"/>
      <c r="F638" s="46"/>
      <c r="G638" s="46"/>
      <c r="H638" s="46"/>
      <c r="I638" s="46"/>
      <c r="J638" s="46"/>
      <c r="K638" s="46"/>
      <c r="L638" s="46"/>
      <c r="M638" s="46" t="str">
        <f aca="false">IF(OR(B638="",I638=""),"",IFERROR(INDEX('Comment flow'!$C$40:$C$46,MATCH(I638,'Comment flow'!$A$40:$A$46,0)),""))</f>
        <v/>
      </c>
      <c r="N638" s="46" t="str">
        <f aca="false">IF(B638="","",IF(OR(I638="",I638="Open: needs a decision",L638=""),"Open","Closed"))</f>
        <v/>
      </c>
      <c r="O638" s="46"/>
      <c r="P638" s="46" t="str">
        <f aca="false">IF(OR(B638="",I638&lt;&gt;"Save for a later revision"),"",IF(COUNTIF('Deferred edits'!$K$2:$K$201,A638)&gt;0,"Yes","● Add to Deferred edits"))</f>
        <v/>
      </c>
    </row>
    <row r="639" customFormat="false" ht="15" hidden="false" customHeight="false" outlineLevel="0" collapsed="false">
      <c r="A639" s="46" t="s">
        <v>934</v>
      </c>
      <c r="B639" s="46"/>
      <c r="C639" s="46"/>
      <c r="D639" s="46"/>
      <c r="E639" s="46"/>
      <c r="F639" s="46"/>
      <c r="G639" s="46"/>
      <c r="H639" s="46"/>
      <c r="I639" s="46"/>
      <c r="J639" s="46"/>
      <c r="K639" s="46"/>
      <c r="L639" s="46"/>
      <c r="M639" s="46" t="str">
        <f aca="false">IF(OR(B639="",I639=""),"",IFERROR(INDEX('Comment flow'!$C$40:$C$46,MATCH(I639,'Comment flow'!$A$40:$A$46,0)),""))</f>
        <v/>
      </c>
      <c r="N639" s="46" t="str">
        <f aca="false">IF(B639="","",IF(OR(I639="",I639="Open: needs a decision",L639=""),"Open","Closed"))</f>
        <v/>
      </c>
      <c r="O639" s="46"/>
      <c r="P639" s="46" t="str">
        <f aca="false">IF(OR(B639="",I639&lt;&gt;"Save for a later revision"),"",IF(COUNTIF('Deferred edits'!$K$2:$K$201,A639)&gt;0,"Yes","● Add to Deferred edits"))</f>
        <v/>
      </c>
    </row>
    <row r="640" customFormat="false" ht="15" hidden="false" customHeight="false" outlineLevel="0" collapsed="false">
      <c r="A640" s="46" t="s">
        <v>935</v>
      </c>
      <c r="B640" s="46"/>
      <c r="C640" s="46"/>
      <c r="D640" s="46"/>
      <c r="E640" s="46"/>
      <c r="F640" s="46"/>
      <c r="G640" s="46"/>
      <c r="H640" s="46"/>
      <c r="I640" s="46"/>
      <c r="J640" s="46"/>
      <c r="K640" s="46"/>
      <c r="L640" s="46"/>
      <c r="M640" s="46" t="str">
        <f aca="false">IF(OR(B640="",I640=""),"",IFERROR(INDEX('Comment flow'!$C$40:$C$46,MATCH(I640,'Comment flow'!$A$40:$A$46,0)),""))</f>
        <v/>
      </c>
      <c r="N640" s="46" t="str">
        <f aca="false">IF(B640="","",IF(OR(I640="",I640="Open: needs a decision",L640=""),"Open","Closed"))</f>
        <v/>
      </c>
      <c r="O640" s="46"/>
      <c r="P640" s="46" t="str">
        <f aca="false">IF(OR(B640="",I640&lt;&gt;"Save for a later revision"),"",IF(COUNTIF('Deferred edits'!$K$2:$K$201,A640)&gt;0,"Yes","● Add to Deferred edits"))</f>
        <v/>
      </c>
    </row>
    <row r="641" customFormat="false" ht="15" hidden="false" customHeight="false" outlineLevel="0" collapsed="false">
      <c r="A641" s="46" t="s">
        <v>936</v>
      </c>
      <c r="B641" s="46"/>
      <c r="C641" s="46"/>
      <c r="D641" s="46"/>
      <c r="E641" s="46"/>
      <c r="F641" s="46"/>
      <c r="G641" s="46"/>
      <c r="H641" s="46"/>
      <c r="I641" s="46"/>
      <c r="J641" s="46"/>
      <c r="K641" s="46"/>
      <c r="L641" s="46"/>
      <c r="M641" s="46" t="str">
        <f aca="false">IF(OR(B641="",I641=""),"",IFERROR(INDEX('Comment flow'!$C$40:$C$46,MATCH(I641,'Comment flow'!$A$40:$A$46,0)),""))</f>
        <v/>
      </c>
      <c r="N641" s="46" t="str">
        <f aca="false">IF(B641="","",IF(OR(I641="",I641="Open: needs a decision",L641=""),"Open","Closed"))</f>
        <v/>
      </c>
      <c r="O641" s="46"/>
      <c r="P641" s="46" t="str">
        <f aca="false">IF(OR(B641="",I641&lt;&gt;"Save for a later revision"),"",IF(COUNTIF('Deferred edits'!$K$2:$K$201,A641)&gt;0,"Yes","● Add to Deferred edits"))</f>
        <v/>
      </c>
    </row>
    <row r="642" customFormat="false" ht="15" hidden="false" customHeight="false" outlineLevel="0" collapsed="false">
      <c r="A642" s="46" t="s">
        <v>937</v>
      </c>
      <c r="B642" s="46"/>
      <c r="C642" s="46"/>
      <c r="D642" s="46"/>
      <c r="E642" s="46"/>
      <c r="F642" s="46"/>
      <c r="G642" s="46"/>
      <c r="H642" s="46"/>
      <c r="I642" s="46"/>
      <c r="J642" s="46"/>
      <c r="K642" s="46"/>
      <c r="L642" s="46"/>
      <c r="M642" s="46" t="str">
        <f aca="false">IF(OR(B642="",I642=""),"",IFERROR(INDEX('Comment flow'!$C$40:$C$46,MATCH(I642,'Comment flow'!$A$40:$A$46,0)),""))</f>
        <v/>
      </c>
      <c r="N642" s="46" t="str">
        <f aca="false">IF(B642="","",IF(OR(I642="",I642="Open: needs a decision",L642=""),"Open","Closed"))</f>
        <v/>
      </c>
      <c r="O642" s="46"/>
      <c r="P642" s="46" t="str">
        <f aca="false">IF(OR(B642="",I642&lt;&gt;"Save for a later revision"),"",IF(COUNTIF('Deferred edits'!$K$2:$K$201,A642)&gt;0,"Yes","● Add to Deferred edits"))</f>
        <v/>
      </c>
    </row>
    <row r="643" customFormat="false" ht="15" hidden="false" customHeight="false" outlineLevel="0" collapsed="false">
      <c r="A643" s="46" t="s">
        <v>938</v>
      </c>
      <c r="B643" s="46"/>
      <c r="C643" s="46"/>
      <c r="D643" s="46"/>
      <c r="E643" s="46"/>
      <c r="F643" s="46"/>
      <c r="G643" s="46"/>
      <c r="H643" s="46"/>
      <c r="I643" s="46"/>
      <c r="J643" s="46"/>
      <c r="K643" s="46"/>
      <c r="L643" s="46"/>
      <c r="M643" s="46" t="str">
        <f aca="false">IF(OR(B643="",I643=""),"",IFERROR(INDEX('Comment flow'!$C$40:$C$46,MATCH(I643,'Comment flow'!$A$40:$A$46,0)),""))</f>
        <v/>
      </c>
      <c r="N643" s="46" t="str">
        <f aca="false">IF(B643="","",IF(OR(I643="",I643="Open: needs a decision",L643=""),"Open","Closed"))</f>
        <v/>
      </c>
      <c r="O643" s="46"/>
      <c r="P643" s="46" t="str">
        <f aca="false">IF(OR(B643="",I643&lt;&gt;"Save for a later revision"),"",IF(COUNTIF('Deferred edits'!$K$2:$K$201,A643)&gt;0,"Yes","● Add to Deferred edits"))</f>
        <v/>
      </c>
    </row>
    <row r="644" customFormat="false" ht="15" hidden="false" customHeight="false" outlineLevel="0" collapsed="false">
      <c r="A644" s="46" t="s">
        <v>939</v>
      </c>
      <c r="B644" s="46"/>
      <c r="C644" s="46"/>
      <c r="D644" s="46"/>
      <c r="E644" s="46"/>
      <c r="F644" s="46"/>
      <c r="G644" s="46"/>
      <c r="H644" s="46"/>
      <c r="I644" s="46"/>
      <c r="J644" s="46"/>
      <c r="K644" s="46"/>
      <c r="L644" s="46"/>
      <c r="M644" s="46" t="str">
        <f aca="false">IF(OR(B644="",I644=""),"",IFERROR(INDEX('Comment flow'!$C$40:$C$46,MATCH(I644,'Comment flow'!$A$40:$A$46,0)),""))</f>
        <v/>
      </c>
      <c r="N644" s="46" t="str">
        <f aca="false">IF(B644="","",IF(OR(I644="",I644="Open: needs a decision",L644=""),"Open","Closed"))</f>
        <v/>
      </c>
      <c r="O644" s="46"/>
      <c r="P644" s="46" t="str">
        <f aca="false">IF(OR(B644="",I644&lt;&gt;"Save for a later revision"),"",IF(COUNTIF('Deferred edits'!$K$2:$K$201,A644)&gt;0,"Yes","● Add to Deferred edits"))</f>
        <v/>
      </c>
    </row>
    <row r="645" customFormat="false" ht="15" hidden="false" customHeight="false" outlineLevel="0" collapsed="false">
      <c r="A645" s="46" t="s">
        <v>940</v>
      </c>
      <c r="B645" s="46"/>
      <c r="C645" s="46"/>
      <c r="D645" s="46"/>
      <c r="E645" s="46"/>
      <c r="F645" s="46"/>
      <c r="G645" s="46"/>
      <c r="H645" s="46"/>
      <c r="I645" s="46"/>
      <c r="J645" s="46"/>
      <c r="K645" s="46"/>
      <c r="L645" s="46"/>
      <c r="M645" s="46" t="str">
        <f aca="false">IF(OR(B645="",I645=""),"",IFERROR(INDEX('Comment flow'!$C$40:$C$46,MATCH(I645,'Comment flow'!$A$40:$A$46,0)),""))</f>
        <v/>
      </c>
      <c r="N645" s="46" t="str">
        <f aca="false">IF(B645="","",IF(OR(I645="",I645="Open: needs a decision",L645=""),"Open","Closed"))</f>
        <v/>
      </c>
      <c r="O645" s="46"/>
      <c r="P645" s="46" t="str">
        <f aca="false">IF(OR(B645="",I645&lt;&gt;"Save for a later revision"),"",IF(COUNTIF('Deferred edits'!$K$2:$K$201,A645)&gt;0,"Yes","● Add to Deferred edits"))</f>
        <v/>
      </c>
    </row>
    <row r="646" customFormat="false" ht="15" hidden="false" customHeight="false" outlineLevel="0" collapsed="false">
      <c r="A646" s="46" t="s">
        <v>941</v>
      </c>
      <c r="B646" s="46"/>
      <c r="C646" s="46"/>
      <c r="D646" s="46"/>
      <c r="E646" s="46"/>
      <c r="F646" s="46"/>
      <c r="G646" s="46"/>
      <c r="H646" s="46"/>
      <c r="I646" s="46"/>
      <c r="J646" s="46"/>
      <c r="K646" s="46"/>
      <c r="L646" s="46"/>
      <c r="M646" s="46" t="str">
        <f aca="false">IF(OR(B646="",I646=""),"",IFERROR(INDEX('Comment flow'!$C$40:$C$46,MATCH(I646,'Comment flow'!$A$40:$A$46,0)),""))</f>
        <v/>
      </c>
      <c r="N646" s="46" t="str">
        <f aca="false">IF(B646="","",IF(OR(I646="",I646="Open: needs a decision",L646=""),"Open","Closed"))</f>
        <v/>
      </c>
      <c r="O646" s="46"/>
      <c r="P646" s="46" t="str">
        <f aca="false">IF(OR(B646="",I646&lt;&gt;"Save for a later revision"),"",IF(COUNTIF('Deferred edits'!$K$2:$K$201,A646)&gt;0,"Yes","● Add to Deferred edits"))</f>
        <v/>
      </c>
    </row>
    <row r="647" customFormat="false" ht="15" hidden="false" customHeight="false" outlineLevel="0" collapsed="false">
      <c r="A647" s="46" t="s">
        <v>942</v>
      </c>
      <c r="B647" s="46"/>
      <c r="C647" s="46"/>
      <c r="D647" s="46"/>
      <c r="E647" s="46"/>
      <c r="F647" s="46"/>
      <c r="G647" s="46"/>
      <c r="H647" s="46"/>
      <c r="I647" s="46"/>
      <c r="J647" s="46"/>
      <c r="K647" s="46"/>
      <c r="L647" s="46"/>
      <c r="M647" s="46" t="str">
        <f aca="false">IF(OR(B647="",I647=""),"",IFERROR(INDEX('Comment flow'!$C$40:$C$46,MATCH(I647,'Comment flow'!$A$40:$A$46,0)),""))</f>
        <v/>
      </c>
      <c r="N647" s="46" t="str">
        <f aca="false">IF(B647="","",IF(OR(I647="",I647="Open: needs a decision",L647=""),"Open","Closed"))</f>
        <v/>
      </c>
      <c r="O647" s="46"/>
      <c r="P647" s="46" t="str">
        <f aca="false">IF(OR(B647="",I647&lt;&gt;"Save for a later revision"),"",IF(COUNTIF('Deferred edits'!$K$2:$K$201,A647)&gt;0,"Yes","● Add to Deferred edits"))</f>
        <v/>
      </c>
    </row>
    <row r="648" customFormat="false" ht="15" hidden="false" customHeight="false" outlineLevel="0" collapsed="false">
      <c r="A648" s="46" t="s">
        <v>943</v>
      </c>
      <c r="B648" s="46"/>
      <c r="C648" s="46"/>
      <c r="D648" s="46"/>
      <c r="E648" s="46"/>
      <c r="F648" s="46"/>
      <c r="G648" s="46"/>
      <c r="H648" s="46"/>
      <c r="I648" s="46"/>
      <c r="J648" s="46"/>
      <c r="K648" s="46"/>
      <c r="L648" s="46"/>
      <c r="M648" s="46" t="str">
        <f aca="false">IF(OR(B648="",I648=""),"",IFERROR(INDEX('Comment flow'!$C$40:$C$46,MATCH(I648,'Comment flow'!$A$40:$A$46,0)),""))</f>
        <v/>
      </c>
      <c r="N648" s="46" t="str">
        <f aca="false">IF(B648="","",IF(OR(I648="",I648="Open: needs a decision",L648=""),"Open","Closed"))</f>
        <v/>
      </c>
      <c r="O648" s="46"/>
      <c r="P648" s="46" t="str">
        <f aca="false">IF(OR(B648="",I648&lt;&gt;"Save for a later revision"),"",IF(COUNTIF('Deferred edits'!$K$2:$K$201,A648)&gt;0,"Yes","● Add to Deferred edits"))</f>
        <v/>
      </c>
    </row>
    <row r="649" customFormat="false" ht="15" hidden="false" customHeight="false" outlineLevel="0" collapsed="false">
      <c r="A649" s="46" t="s">
        <v>944</v>
      </c>
      <c r="B649" s="46"/>
      <c r="C649" s="46"/>
      <c r="D649" s="46"/>
      <c r="E649" s="46"/>
      <c r="F649" s="46"/>
      <c r="G649" s="46"/>
      <c r="H649" s="46"/>
      <c r="I649" s="46"/>
      <c r="J649" s="46"/>
      <c r="K649" s="46"/>
      <c r="L649" s="46"/>
      <c r="M649" s="46" t="str">
        <f aca="false">IF(OR(B649="",I649=""),"",IFERROR(INDEX('Comment flow'!$C$40:$C$46,MATCH(I649,'Comment flow'!$A$40:$A$46,0)),""))</f>
        <v/>
      </c>
      <c r="N649" s="46" t="str">
        <f aca="false">IF(B649="","",IF(OR(I649="",I649="Open: needs a decision",L649=""),"Open","Closed"))</f>
        <v/>
      </c>
      <c r="O649" s="46"/>
      <c r="P649" s="46" t="str">
        <f aca="false">IF(OR(B649="",I649&lt;&gt;"Save for a later revision"),"",IF(COUNTIF('Deferred edits'!$K$2:$K$201,A649)&gt;0,"Yes","● Add to Deferred edits"))</f>
        <v/>
      </c>
    </row>
    <row r="650" customFormat="false" ht="15" hidden="false" customHeight="false" outlineLevel="0" collapsed="false">
      <c r="A650" s="46" t="s">
        <v>945</v>
      </c>
      <c r="B650" s="46"/>
      <c r="C650" s="46"/>
      <c r="D650" s="46"/>
      <c r="E650" s="46"/>
      <c r="F650" s="46"/>
      <c r="G650" s="46"/>
      <c r="H650" s="46"/>
      <c r="I650" s="46"/>
      <c r="J650" s="46"/>
      <c r="K650" s="46"/>
      <c r="L650" s="46"/>
      <c r="M650" s="46" t="str">
        <f aca="false">IF(OR(B650="",I650=""),"",IFERROR(INDEX('Comment flow'!$C$40:$C$46,MATCH(I650,'Comment flow'!$A$40:$A$46,0)),""))</f>
        <v/>
      </c>
      <c r="N650" s="46" t="str">
        <f aca="false">IF(B650="","",IF(OR(I650="",I650="Open: needs a decision",L650=""),"Open","Closed"))</f>
        <v/>
      </c>
      <c r="O650" s="46"/>
      <c r="P650" s="46" t="str">
        <f aca="false">IF(OR(B650="",I650&lt;&gt;"Save for a later revision"),"",IF(COUNTIF('Deferred edits'!$K$2:$K$201,A650)&gt;0,"Yes","● Add to Deferred edits"))</f>
        <v/>
      </c>
    </row>
    <row r="651" customFormat="false" ht="15" hidden="false" customHeight="false" outlineLevel="0" collapsed="false">
      <c r="A651" s="46" t="s">
        <v>946</v>
      </c>
      <c r="B651" s="46"/>
      <c r="C651" s="46"/>
      <c r="D651" s="46"/>
      <c r="E651" s="46"/>
      <c r="F651" s="46"/>
      <c r="G651" s="46"/>
      <c r="H651" s="46"/>
      <c r="I651" s="46"/>
      <c r="J651" s="46"/>
      <c r="K651" s="46"/>
      <c r="L651" s="46"/>
      <c r="M651" s="46" t="str">
        <f aca="false">IF(OR(B651="",I651=""),"",IFERROR(INDEX('Comment flow'!$C$40:$C$46,MATCH(I651,'Comment flow'!$A$40:$A$46,0)),""))</f>
        <v/>
      </c>
      <c r="N651" s="46" t="str">
        <f aca="false">IF(B651="","",IF(OR(I651="",I651="Open: needs a decision",L651=""),"Open","Closed"))</f>
        <v/>
      </c>
      <c r="O651" s="46"/>
      <c r="P651" s="46" t="str">
        <f aca="false">IF(OR(B651="",I651&lt;&gt;"Save for a later revision"),"",IF(COUNTIF('Deferred edits'!$K$2:$K$201,A651)&gt;0,"Yes","● Add to Deferred edits"))</f>
        <v/>
      </c>
    </row>
    <row r="652" customFormat="false" ht="15" hidden="false" customHeight="false" outlineLevel="0" collapsed="false">
      <c r="A652" s="46" t="s">
        <v>947</v>
      </c>
      <c r="B652" s="46"/>
      <c r="C652" s="46"/>
      <c r="D652" s="46"/>
      <c r="E652" s="46"/>
      <c r="F652" s="46"/>
      <c r="G652" s="46"/>
      <c r="H652" s="46"/>
      <c r="I652" s="46"/>
      <c r="J652" s="46"/>
      <c r="K652" s="46"/>
      <c r="L652" s="46"/>
      <c r="M652" s="46" t="str">
        <f aca="false">IF(OR(B652="",I652=""),"",IFERROR(INDEX('Comment flow'!$C$40:$C$46,MATCH(I652,'Comment flow'!$A$40:$A$46,0)),""))</f>
        <v/>
      </c>
      <c r="N652" s="46" t="str">
        <f aca="false">IF(B652="","",IF(OR(I652="",I652="Open: needs a decision",L652=""),"Open","Closed"))</f>
        <v/>
      </c>
      <c r="O652" s="46"/>
      <c r="P652" s="46" t="str">
        <f aca="false">IF(OR(B652="",I652&lt;&gt;"Save for a later revision"),"",IF(COUNTIF('Deferred edits'!$K$2:$K$201,A652)&gt;0,"Yes","● Add to Deferred edits"))</f>
        <v/>
      </c>
    </row>
    <row r="653" customFormat="false" ht="15" hidden="false" customHeight="false" outlineLevel="0" collapsed="false">
      <c r="A653" s="46" t="s">
        <v>948</v>
      </c>
      <c r="B653" s="46"/>
      <c r="C653" s="46"/>
      <c r="D653" s="46"/>
      <c r="E653" s="46"/>
      <c r="F653" s="46"/>
      <c r="G653" s="46"/>
      <c r="H653" s="46"/>
      <c r="I653" s="46"/>
      <c r="J653" s="46"/>
      <c r="K653" s="46"/>
      <c r="L653" s="46"/>
      <c r="M653" s="46" t="str">
        <f aca="false">IF(OR(B653="",I653=""),"",IFERROR(INDEX('Comment flow'!$C$40:$C$46,MATCH(I653,'Comment flow'!$A$40:$A$46,0)),""))</f>
        <v/>
      </c>
      <c r="N653" s="46" t="str">
        <f aca="false">IF(B653="","",IF(OR(I653="",I653="Open: needs a decision",L653=""),"Open","Closed"))</f>
        <v/>
      </c>
      <c r="O653" s="46"/>
      <c r="P653" s="46" t="str">
        <f aca="false">IF(OR(B653="",I653&lt;&gt;"Save for a later revision"),"",IF(COUNTIF('Deferred edits'!$K$2:$K$201,A653)&gt;0,"Yes","● Add to Deferred edits"))</f>
        <v/>
      </c>
    </row>
    <row r="654" customFormat="false" ht="15" hidden="false" customHeight="false" outlineLevel="0" collapsed="false">
      <c r="A654" s="46" t="s">
        <v>949</v>
      </c>
      <c r="B654" s="46"/>
      <c r="C654" s="46"/>
      <c r="D654" s="46"/>
      <c r="E654" s="46"/>
      <c r="F654" s="46"/>
      <c r="G654" s="46"/>
      <c r="H654" s="46"/>
      <c r="I654" s="46"/>
      <c r="J654" s="46"/>
      <c r="K654" s="46"/>
      <c r="L654" s="46"/>
      <c r="M654" s="46" t="str">
        <f aca="false">IF(OR(B654="",I654=""),"",IFERROR(INDEX('Comment flow'!$C$40:$C$46,MATCH(I654,'Comment flow'!$A$40:$A$46,0)),""))</f>
        <v/>
      </c>
      <c r="N654" s="46" t="str">
        <f aca="false">IF(B654="","",IF(OR(I654="",I654="Open: needs a decision",L654=""),"Open","Closed"))</f>
        <v/>
      </c>
      <c r="O654" s="46"/>
      <c r="P654" s="46" t="str">
        <f aca="false">IF(OR(B654="",I654&lt;&gt;"Save for a later revision"),"",IF(COUNTIF('Deferred edits'!$K$2:$K$201,A654)&gt;0,"Yes","● Add to Deferred edits"))</f>
        <v/>
      </c>
    </row>
    <row r="655" customFormat="false" ht="15" hidden="false" customHeight="false" outlineLevel="0" collapsed="false">
      <c r="A655" s="46" t="s">
        <v>950</v>
      </c>
      <c r="B655" s="46"/>
      <c r="C655" s="46"/>
      <c r="D655" s="46"/>
      <c r="E655" s="46"/>
      <c r="F655" s="46"/>
      <c r="G655" s="46"/>
      <c r="H655" s="46"/>
      <c r="I655" s="46"/>
      <c r="J655" s="46"/>
      <c r="K655" s="46"/>
      <c r="L655" s="46"/>
      <c r="M655" s="46" t="str">
        <f aca="false">IF(OR(B655="",I655=""),"",IFERROR(INDEX('Comment flow'!$C$40:$C$46,MATCH(I655,'Comment flow'!$A$40:$A$46,0)),""))</f>
        <v/>
      </c>
      <c r="N655" s="46" t="str">
        <f aca="false">IF(B655="","",IF(OR(I655="",I655="Open: needs a decision",L655=""),"Open","Closed"))</f>
        <v/>
      </c>
      <c r="O655" s="46"/>
      <c r="P655" s="46" t="str">
        <f aca="false">IF(OR(B655="",I655&lt;&gt;"Save for a later revision"),"",IF(COUNTIF('Deferred edits'!$K$2:$K$201,A655)&gt;0,"Yes","● Add to Deferred edits"))</f>
        <v/>
      </c>
    </row>
    <row r="656" customFormat="false" ht="15" hidden="false" customHeight="false" outlineLevel="0" collapsed="false">
      <c r="A656" s="46" t="s">
        <v>951</v>
      </c>
      <c r="B656" s="46"/>
      <c r="C656" s="46"/>
      <c r="D656" s="46"/>
      <c r="E656" s="46"/>
      <c r="F656" s="46"/>
      <c r="G656" s="46"/>
      <c r="H656" s="46"/>
      <c r="I656" s="46"/>
      <c r="J656" s="46"/>
      <c r="K656" s="46"/>
      <c r="L656" s="46"/>
      <c r="M656" s="46" t="str">
        <f aca="false">IF(OR(B656="",I656=""),"",IFERROR(INDEX('Comment flow'!$C$40:$C$46,MATCH(I656,'Comment flow'!$A$40:$A$46,0)),""))</f>
        <v/>
      </c>
      <c r="N656" s="46" t="str">
        <f aca="false">IF(B656="","",IF(OR(I656="",I656="Open: needs a decision",L656=""),"Open","Closed"))</f>
        <v/>
      </c>
      <c r="O656" s="46"/>
      <c r="P656" s="46" t="str">
        <f aca="false">IF(OR(B656="",I656&lt;&gt;"Save for a later revision"),"",IF(COUNTIF('Deferred edits'!$K$2:$K$201,A656)&gt;0,"Yes","● Add to Deferred edits"))</f>
        <v/>
      </c>
    </row>
    <row r="657" customFormat="false" ht="15" hidden="false" customHeight="false" outlineLevel="0" collapsed="false">
      <c r="A657" s="46" t="s">
        <v>952</v>
      </c>
      <c r="B657" s="46"/>
      <c r="C657" s="46"/>
      <c r="D657" s="46"/>
      <c r="E657" s="46"/>
      <c r="F657" s="46"/>
      <c r="G657" s="46"/>
      <c r="H657" s="46"/>
      <c r="I657" s="46"/>
      <c r="J657" s="46"/>
      <c r="K657" s="46"/>
      <c r="L657" s="46"/>
      <c r="M657" s="46" t="str">
        <f aca="false">IF(OR(B657="",I657=""),"",IFERROR(INDEX('Comment flow'!$C$40:$C$46,MATCH(I657,'Comment flow'!$A$40:$A$46,0)),""))</f>
        <v/>
      </c>
      <c r="N657" s="46" t="str">
        <f aca="false">IF(B657="","",IF(OR(I657="",I657="Open: needs a decision",L657=""),"Open","Closed"))</f>
        <v/>
      </c>
      <c r="O657" s="46"/>
      <c r="P657" s="46" t="str">
        <f aca="false">IF(OR(B657="",I657&lt;&gt;"Save for a later revision"),"",IF(COUNTIF('Deferred edits'!$K$2:$K$201,A657)&gt;0,"Yes","● Add to Deferred edits"))</f>
        <v/>
      </c>
    </row>
    <row r="658" customFormat="false" ht="15" hidden="false" customHeight="false" outlineLevel="0" collapsed="false">
      <c r="A658" s="46" t="s">
        <v>953</v>
      </c>
      <c r="B658" s="46"/>
      <c r="C658" s="46"/>
      <c r="D658" s="46"/>
      <c r="E658" s="46"/>
      <c r="F658" s="46"/>
      <c r="G658" s="46"/>
      <c r="H658" s="46"/>
      <c r="I658" s="46"/>
      <c r="J658" s="46"/>
      <c r="K658" s="46"/>
      <c r="L658" s="46"/>
      <c r="M658" s="46" t="str">
        <f aca="false">IF(OR(B658="",I658=""),"",IFERROR(INDEX('Comment flow'!$C$40:$C$46,MATCH(I658,'Comment flow'!$A$40:$A$46,0)),""))</f>
        <v/>
      </c>
      <c r="N658" s="46" t="str">
        <f aca="false">IF(B658="","",IF(OR(I658="",I658="Open: needs a decision",L658=""),"Open","Closed"))</f>
        <v/>
      </c>
      <c r="O658" s="46"/>
      <c r="P658" s="46" t="str">
        <f aca="false">IF(OR(B658="",I658&lt;&gt;"Save for a later revision"),"",IF(COUNTIF('Deferred edits'!$K$2:$K$201,A658)&gt;0,"Yes","● Add to Deferred edits"))</f>
        <v/>
      </c>
    </row>
    <row r="659" customFormat="false" ht="15" hidden="false" customHeight="false" outlineLevel="0" collapsed="false">
      <c r="A659" s="46" t="s">
        <v>954</v>
      </c>
      <c r="B659" s="46"/>
      <c r="C659" s="46"/>
      <c r="D659" s="46"/>
      <c r="E659" s="46"/>
      <c r="F659" s="46"/>
      <c r="G659" s="46"/>
      <c r="H659" s="46"/>
      <c r="I659" s="46"/>
      <c r="J659" s="46"/>
      <c r="K659" s="46"/>
      <c r="L659" s="46"/>
      <c r="M659" s="46" t="str">
        <f aca="false">IF(OR(B659="",I659=""),"",IFERROR(INDEX('Comment flow'!$C$40:$C$46,MATCH(I659,'Comment flow'!$A$40:$A$46,0)),""))</f>
        <v/>
      </c>
      <c r="N659" s="46" t="str">
        <f aca="false">IF(B659="","",IF(OR(I659="",I659="Open: needs a decision",L659=""),"Open","Closed"))</f>
        <v/>
      </c>
      <c r="O659" s="46"/>
      <c r="P659" s="46" t="str">
        <f aca="false">IF(OR(B659="",I659&lt;&gt;"Save for a later revision"),"",IF(COUNTIF('Deferred edits'!$K$2:$K$201,A659)&gt;0,"Yes","● Add to Deferred edits"))</f>
        <v/>
      </c>
    </row>
    <row r="660" customFormat="false" ht="15" hidden="false" customHeight="false" outlineLevel="0" collapsed="false">
      <c r="A660" s="46" t="s">
        <v>955</v>
      </c>
      <c r="B660" s="46"/>
      <c r="C660" s="46"/>
      <c r="D660" s="46"/>
      <c r="E660" s="46"/>
      <c r="F660" s="46"/>
      <c r="G660" s="46"/>
      <c r="H660" s="46"/>
      <c r="I660" s="46"/>
      <c r="J660" s="46"/>
      <c r="K660" s="46"/>
      <c r="L660" s="46"/>
      <c r="M660" s="46" t="str">
        <f aca="false">IF(OR(B660="",I660=""),"",IFERROR(INDEX('Comment flow'!$C$40:$C$46,MATCH(I660,'Comment flow'!$A$40:$A$46,0)),""))</f>
        <v/>
      </c>
      <c r="N660" s="46" t="str">
        <f aca="false">IF(B660="","",IF(OR(I660="",I660="Open: needs a decision",L660=""),"Open","Closed"))</f>
        <v/>
      </c>
      <c r="O660" s="46"/>
      <c r="P660" s="46" t="str">
        <f aca="false">IF(OR(B660="",I660&lt;&gt;"Save for a later revision"),"",IF(COUNTIF('Deferred edits'!$K$2:$K$201,A660)&gt;0,"Yes","● Add to Deferred edits"))</f>
        <v/>
      </c>
    </row>
    <row r="661" customFormat="false" ht="15" hidden="false" customHeight="false" outlineLevel="0" collapsed="false">
      <c r="A661" s="46" t="s">
        <v>956</v>
      </c>
      <c r="B661" s="46"/>
      <c r="C661" s="46"/>
      <c r="D661" s="46"/>
      <c r="E661" s="46"/>
      <c r="F661" s="46"/>
      <c r="G661" s="46"/>
      <c r="H661" s="46"/>
      <c r="I661" s="46"/>
      <c r="J661" s="46"/>
      <c r="K661" s="46"/>
      <c r="L661" s="46"/>
      <c r="M661" s="46" t="str">
        <f aca="false">IF(OR(B661="",I661=""),"",IFERROR(INDEX('Comment flow'!$C$40:$C$46,MATCH(I661,'Comment flow'!$A$40:$A$46,0)),""))</f>
        <v/>
      </c>
      <c r="N661" s="46" t="str">
        <f aca="false">IF(B661="","",IF(OR(I661="",I661="Open: needs a decision",L661=""),"Open","Closed"))</f>
        <v/>
      </c>
      <c r="O661" s="46"/>
      <c r="P661" s="46" t="str">
        <f aca="false">IF(OR(B661="",I661&lt;&gt;"Save for a later revision"),"",IF(COUNTIF('Deferred edits'!$K$2:$K$201,A661)&gt;0,"Yes","● Add to Deferred edits"))</f>
        <v/>
      </c>
    </row>
    <row r="662" customFormat="false" ht="15" hidden="false" customHeight="false" outlineLevel="0" collapsed="false">
      <c r="A662" s="46" t="s">
        <v>957</v>
      </c>
      <c r="B662" s="46"/>
      <c r="C662" s="46"/>
      <c r="D662" s="46"/>
      <c r="E662" s="46"/>
      <c r="F662" s="46"/>
      <c r="G662" s="46"/>
      <c r="H662" s="46"/>
      <c r="I662" s="46"/>
      <c r="J662" s="46"/>
      <c r="K662" s="46"/>
      <c r="L662" s="46"/>
      <c r="M662" s="46" t="str">
        <f aca="false">IF(OR(B662="",I662=""),"",IFERROR(INDEX('Comment flow'!$C$40:$C$46,MATCH(I662,'Comment flow'!$A$40:$A$46,0)),""))</f>
        <v/>
      </c>
      <c r="N662" s="46" t="str">
        <f aca="false">IF(B662="","",IF(OR(I662="",I662="Open: needs a decision",L662=""),"Open","Closed"))</f>
        <v/>
      </c>
      <c r="O662" s="46"/>
      <c r="P662" s="46" t="str">
        <f aca="false">IF(OR(B662="",I662&lt;&gt;"Save for a later revision"),"",IF(COUNTIF('Deferred edits'!$K$2:$K$201,A662)&gt;0,"Yes","● Add to Deferred edits"))</f>
        <v/>
      </c>
    </row>
    <row r="663" customFormat="false" ht="15" hidden="false" customHeight="false" outlineLevel="0" collapsed="false">
      <c r="A663" s="46" t="s">
        <v>958</v>
      </c>
      <c r="B663" s="46"/>
      <c r="C663" s="46"/>
      <c r="D663" s="46"/>
      <c r="E663" s="46"/>
      <c r="F663" s="46"/>
      <c r="G663" s="46"/>
      <c r="H663" s="46"/>
      <c r="I663" s="46"/>
      <c r="J663" s="46"/>
      <c r="K663" s="46"/>
      <c r="L663" s="46"/>
      <c r="M663" s="46" t="str">
        <f aca="false">IF(OR(B663="",I663=""),"",IFERROR(INDEX('Comment flow'!$C$40:$C$46,MATCH(I663,'Comment flow'!$A$40:$A$46,0)),""))</f>
        <v/>
      </c>
      <c r="N663" s="46" t="str">
        <f aca="false">IF(B663="","",IF(OR(I663="",I663="Open: needs a decision",L663=""),"Open","Closed"))</f>
        <v/>
      </c>
      <c r="O663" s="46"/>
      <c r="P663" s="46" t="str">
        <f aca="false">IF(OR(B663="",I663&lt;&gt;"Save for a later revision"),"",IF(COUNTIF('Deferred edits'!$K$2:$K$201,A663)&gt;0,"Yes","● Add to Deferred edits"))</f>
        <v/>
      </c>
    </row>
    <row r="664" customFormat="false" ht="15" hidden="false" customHeight="false" outlineLevel="0" collapsed="false">
      <c r="A664" s="46" t="s">
        <v>959</v>
      </c>
      <c r="B664" s="46"/>
      <c r="C664" s="46"/>
      <c r="D664" s="46"/>
      <c r="E664" s="46"/>
      <c r="F664" s="46"/>
      <c r="G664" s="46"/>
      <c r="H664" s="46"/>
      <c r="I664" s="46"/>
      <c r="J664" s="46"/>
      <c r="K664" s="46"/>
      <c r="L664" s="46"/>
      <c r="M664" s="46" t="str">
        <f aca="false">IF(OR(B664="",I664=""),"",IFERROR(INDEX('Comment flow'!$C$40:$C$46,MATCH(I664,'Comment flow'!$A$40:$A$46,0)),""))</f>
        <v/>
      </c>
      <c r="N664" s="46" t="str">
        <f aca="false">IF(B664="","",IF(OR(I664="",I664="Open: needs a decision",L664=""),"Open","Closed"))</f>
        <v/>
      </c>
      <c r="O664" s="46"/>
      <c r="P664" s="46" t="str">
        <f aca="false">IF(OR(B664="",I664&lt;&gt;"Save for a later revision"),"",IF(COUNTIF('Deferred edits'!$K$2:$K$201,A664)&gt;0,"Yes","● Add to Deferred edits"))</f>
        <v/>
      </c>
    </row>
    <row r="665" customFormat="false" ht="15" hidden="false" customHeight="false" outlineLevel="0" collapsed="false">
      <c r="A665" s="46" t="s">
        <v>960</v>
      </c>
      <c r="B665" s="46"/>
      <c r="C665" s="46"/>
      <c r="D665" s="46"/>
      <c r="E665" s="46"/>
      <c r="F665" s="46"/>
      <c r="G665" s="46"/>
      <c r="H665" s="46"/>
      <c r="I665" s="46"/>
      <c r="J665" s="46"/>
      <c r="K665" s="46"/>
      <c r="L665" s="46"/>
      <c r="M665" s="46" t="str">
        <f aca="false">IF(OR(B665="",I665=""),"",IFERROR(INDEX('Comment flow'!$C$40:$C$46,MATCH(I665,'Comment flow'!$A$40:$A$46,0)),""))</f>
        <v/>
      </c>
      <c r="N665" s="46" t="str">
        <f aca="false">IF(B665="","",IF(OR(I665="",I665="Open: needs a decision",L665=""),"Open","Closed"))</f>
        <v/>
      </c>
      <c r="O665" s="46"/>
      <c r="P665" s="46" t="str">
        <f aca="false">IF(OR(B665="",I665&lt;&gt;"Save for a later revision"),"",IF(COUNTIF('Deferred edits'!$K$2:$K$201,A665)&gt;0,"Yes","● Add to Deferred edits"))</f>
        <v/>
      </c>
    </row>
    <row r="666" customFormat="false" ht="15" hidden="false" customHeight="false" outlineLevel="0" collapsed="false">
      <c r="A666" s="46" t="s">
        <v>961</v>
      </c>
      <c r="B666" s="46"/>
      <c r="C666" s="46"/>
      <c r="D666" s="46"/>
      <c r="E666" s="46"/>
      <c r="F666" s="46"/>
      <c r="G666" s="46"/>
      <c r="H666" s="46"/>
      <c r="I666" s="46"/>
      <c r="J666" s="46"/>
      <c r="K666" s="46"/>
      <c r="L666" s="46"/>
      <c r="M666" s="46" t="str">
        <f aca="false">IF(OR(B666="",I666=""),"",IFERROR(INDEX('Comment flow'!$C$40:$C$46,MATCH(I666,'Comment flow'!$A$40:$A$46,0)),""))</f>
        <v/>
      </c>
      <c r="N666" s="46" t="str">
        <f aca="false">IF(B666="","",IF(OR(I666="",I666="Open: needs a decision",L666=""),"Open","Closed"))</f>
        <v/>
      </c>
      <c r="O666" s="46"/>
      <c r="P666" s="46" t="str">
        <f aca="false">IF(OR(B666="",I666&lt;&gt;"Save for a later revision"),"",IF(COUNTIF('Deferred edits'!$K$2:$K$201,A666)&gt;0,"Yes","● Add to Deferred edits"))</f>
        <v/>
      </c>
    </row>
    <row r="667" customFormat="false" ht="15" hidden="false" customHeight="false" outlineLevel="0" collapsed="false">
      <c r="A667" s="46" t="s">
        <v>962</v>
      </c>
      <c r="B667" s="46"/>
      <c r="C667" s="46"/>
      <c r="D667" s="46"/>
      <c r="E667" s="46"/>
      <c r="F667" s="46"/>
      <c r="G667" s="46"/>
      <c r="H667" s="46"/>
      <c r="I667" s="46"/>
      <c r="J667" s="46"/>
      <c r="K667" s="46"/>
      <c r="L667" s="46"/>
      <c r="M667" s="46" t="str">
        <f aca="false">IF(OR(B667="",I667=""),"",IFERROR(INDEX('Comment flow'!$C$40:$C$46,MATCH(I667,'Comment flow'!$A$40:$A$46,0)),""))</f>
        <v/>
      </c>
      <c r="N667" s="46" t="str">
        <f aca="false">IF(B667="","",IF(OR(I667="",I667="Open: needs a decision",L667=""),"Open","Closed"))</f>
        <v/>
      </c>
      <c r="O667" s="46"/>
      <c r="P667" s="46" t="str">
        <f aca="false">IF(OR(B667="",I667&lt;&gt;"Save for a later revision"),"",IF(COUNTIF('Deferred edits'!$K$2:$K$201,A667)&gt;0,"Yes","● Add to Deferred edits"))</f>
        <v/>
      </c>
    </row>
    <row r="668" customFormat="false" ht="15" hidden="false" customHeight="false" outlineLevel="0" collapsed="false">
      <c r="A668" s="46" t="s">
        <v>963</v>
      </c>
      <c r="B668" s="46"/>
      <c r="C668" s="46"/>
      <c r="D668" s="46"/>
      <c r="E668" s="46"/>
      <c r="F668" s="46"/>
      <c r="G668" s="46"/>
      <c r="H668" s="46"/>
      <c r="I668" s="46"/>
      <c r="J668" s="46"/>
      <c r="K668" s="46"/>
      <c r="L668" s="46"/>
      <c r="M668" s="46" t="str">
        <f aca="false">IF(OR(B668="",I668=""),"",IFERROR(INDEX('Comment flow'!$C$40:$C$46,MATCH(I668,'Comment flow'!$A$40:$A$46,0)),""))</f>
        <v/>
      </c>
      <c r="N668" s="46" t="str">
        <f aca="false">IF(B668="","",IF(OR(I668="",I668="Open: needs a decision",L668=""),"Open","Closed"))</f>
        <v/>
      </c>
      <c r="O668" s="46"/>
      <c r="P668" s="46" t="str">
        <f aca="false">IF(OR(B668="",I668&lt;&gt;"Save for a later revision"),"",IF(COUNTIF('Deferred edits'!$K$2:$K$201,A668)&gt;0,"Yes","● Add to Deferred edits"))</f>
        <v/>
      </c>
    </row>
    <row r="669" customFormat="false" ht="15" hidden="false" customHeight="false" outlineLevel="0" collapsed="false">
      <c r="A669" s="46" t="s">
        <v>964</v>
      </c>
      <c r="B669" s="46"/>
      <c r="C669" s="46"/>
      <c r="D669" s="46"/>
      <c r="E669" s="46"/>
      <c r="F669" s="46"/>
      <c r="G669" s="46"/>
      <c r="H669" s="46"/>
      <c r="I669" s="46"/>
      <c r="J669" s="46"/>
      <c r="K669" s="46"/>
      <c r="L669" s="46"/>
      <c r="M669" s="46" t="str">
        <f aca="false">IF(OR(B669="",I669=""),"",IFERROR(INDEX('Comment flow'!$C$40:$C$46,MATCH(I669,'Comment flow'!$A$40:$A$46,0)),""))</f>
        <v/>
      </c>
      <c r="N669" s="46" t="str">
        <f aca="false">IF(B669="","",IF(OR(I669="",I669="Open: needs a decision",L669=""),"Open","Closed"))</f>
        <v/>
      </c>
      <c r="O669" s="46"/>
      <c r="P669" s="46" t="str">
        <f aca="false">IF(OR(B669="",I669&lt;&gt;"Save for a later revision"),"",IF(COUNTIF('Deferred edits'!$K$2:$K$201,A669)&gt;0,"Yes","● Add to Deferred edits"))</f>
        <v/>
      </c>
    </row>
    <row r="670" customFormat="false" ht="15" hidden="false" customHeight="false" outlineLevel="0" collapsed="false">
      <c r="A670" s="46" t="s">
        <v>965</v>
      </c>
      <c r="B670" s="46"/>
      <c r="C670" s="46"/>
      <c r="D670" s="46"/>
      <c r="E670" s="46"/>
      <c r="F670" s="46"/>
      <c r="G670" s="46"/>
      <c r="H670" s="46"/>
      <c r="I670" s="46"/>
      <c r="J670" s="46"/>
      <c r="K670" s="46"/>
      <c r="L670" s="46"/>
      <c r="M670" s="46" t="str">
        <f aca="false">IF(OR(B670="",I670=""),"",IFERROR(INDEX('Comment flow'!$C$40:$C$46,MATCH(I670,'Comment flow'!$A$40:$A$46,0)),""))</f>
        <v/>
      </c>
      <c r="N670" s="46" t="str">
        <f aca="false">IF(B670="","",IF(OR(I670="",I670="Open: needs a decision",L670=""),"Open","Closed"))</f>
        <v/>
      </c>
      <c r="O670" s="46"/>
      <c r="P670" s="46" t="str">
        <f aca="false">IF(OR(B670="",I670&lt;&gt;"Save for a later revision"),"",IF(COUNTIF('Deferred edits'!$K$2:$K$201,A670)&gt;0,"Yes","● Add to Deferred edits"))</f>
        <v/>
      </c>
    </row>
    <row r="671" customFormat="false" ht="15" hidden="false" customHeight="false" outlineLevel="0" collapsed="false">
      <c r="A671" s="46" t="s">
        <v>966</v>
      </c>
      <c r="B671" s="46"/>
      <c r="C671" s="46"/>
      <c r="D671" s="46"/>
      <c r="E671" s="46"/>
      <c r="F671" s="46"/>
      <c r="G671" s="46"/>
      <c r="H671" s="46"/>
      <c r="I671" s="46"/>
      <c r="J671" s="46"/>
      <c r="K671" s="46"/>
      <c r="L671" s="46"/>
      <c r="M671" s="46" t="str">
        <f aca="false">IF(OR(B671="",I671=""),"",IFERROR(INDEX('Comment flow'!$C$40:$C$46,MATCH(I671,'Comment flow'!$A$40:$A$46,0)),""))</f>
        <v/>
      </c>
      <c r="N671" s="46" t="str">
        <f aca="false">IF(B671="","",IF(OR(I671="",I671="Open: needs a decision",L671=""),"Open","Closed"))</f>
        <v/>
      </c>
      <c r="O671" s="46"/>
      <c r="P671" s="46" t="str">
        <f aca="false">IF(OR(B671="",I671&lt;&gt;"Save for a later revision"),"",IF(COUNTIF('Deferred edits'!$K$2:$K$201,A671)&gt;0,"Yes","● Add to Deferred edits"))</f>
        <v/>
      </c>
    </row>
    <row r="672" customFormat="false" ht="15" hidden="false" customHeight="false" outlineLevel="0" collapsed="false">
      <c r="A672" s="46" t="s">
        <v>967</v>
      </c>
      <c r="B672" s="46"/>
      <c r="C672" s="46"/>
      <c r="D672" s="46"/>
      <c r="E672" s="46"/>
      <c r="F672" s="46"/>
      <c r="G672" s="46"/>
      <c r="H672" s="46"/>
      <c r="I672" s="46"/>
      <c r="J672" s="46"/>
      <c r="K672" s="46"/>
      <c r="L672" s="46"/>
      <c r="M672" s="46" t="str">
        <f aca="false">IF(OR(B672="",I672=""),"",IFERROR(INDEX('Comment flow'!$C$40:$C$46,MATCH(I672,'Comment flow'!$A$40:$A$46,0)),""))</f>
        <v/>
      </c>
      <c r="N672" s="46" t="str">
        <f aca="false">IF(B672="","",IF(OR(I672="",I672="Open: needs a decision",L672=""),"Open","Closed"))</f>
        <v/>
      </c>
      <c r="O672" s="46"/>
      <c r="P672" s="46" t="str">
        <f aca="false">IF(OR(B672="",I672&lt;&gt;"Save for a later revision"),"",IF(COUNTIF('Deferred edits'!$K$2:$K$201,A672)&gt;0,"Yes","● Add to Deferred edits"))</f>
        <v/>
      </c>
    </row>
    <row r="673" customFormat="false" ht="15" hidden="false" customHeight="false" outlineLevel="0" collapsed="false">
      <c r="A673" s="46" t="s">
        <v>968</v>
      </c>
      <c r="B673" s="46"/>
      <c r="C673" s="46"/>
      <c r="D673" s="46"/>
      <c r="E673" s="46"/>
      <c r="F673" s="46"/>
      <c r="G673" s="46"/>
      <c r="H673" s="46"/>
      <c r="I673" s="46"/>
      <c r="J673" s="46"/>
      <c r="K673" s="46"/>
      <c r="L673" s="46"/>
      <c r="M673" s="46" t="str">
        <f aca="false">IF(OR(B673="",I673=""),"",IFERROR(INDEX('Comment flow'!$C$40:$C$46,MATCH(I673,'Comment flow'!$A$40:$A$46,0)),""))</f>
        <v/>
      </c>
      <c r="N673" s="46" t="str">
        <f aca="false">IF(B673="","",IF(OR(I673="",I673="Open: needs a decision",L673=""),"Open","Closed"))</f>
        <v/>
      </c>
      <c r="O673" s="46"/>
      <c r="P673" s="46" t="str">
        <f aca="false">IF(OR(B673="",I673&lt;&gt;"Save for a later revision"),"",IF(COUNTIF('Deferred edits'!$K$2:$K$201,A673)&gt;0,"Yes","● Add to Deferred edits"))</f>
        <v/>
      </c>
    </row>
    <row r="674" customFormat="false" ht="15" hidden="false" customHeight="false" outlineLevel="0" collapsed="false">
      <c r="A674" s="46" t="s">
        <v>969</v>
      </c>
      <c r="B674" s="46"/>
      <c r="C674" s="46"/>
      <c r="D674" s="46"/>
      <c r="E674" s="46"/>
      <c r="F674" s="46"/>
      <c r="G674" s="46"/>
      <c r="H674" s="46"/>
      <c r="I674" s="46"/>
      <c r="J674" s="46"/>
      <c r="K674" s="46"/>
      <c r="L674" s="46"/>
      <c r="M674" s="46" t="str">
        <f aca="false">IF(OR(B674="",I674=""),"",IFERROR(INDEX('Comment flow'!$C$40:$C$46,MATCH(I674,'Comment flow'!$A$40:$A$46,0)),""))</f>
        <v/>
      </c>
      <c r="N674" s="46" t="str">
        <f aca="false">IF(B674="","",IF(OR(I674="",I674="Open: needs a decision",L674=""),"Open","Closed"))</f>
        <v/>
      </c>
      <c r="O674" s="46"/>
      <c r="P674" s="46" t="str">
        <f aca="false">IF(OR(B674="",I674&lt;&gt;"Save for a later revision"),"",IF(COUNTIF('Deferred edits'!$K$2:$K$201,A674)&gt;0,"Yes","● Add to Deferred edits"))</f>
        <v/>
      </c>
    </row>
    <row r="675" customFormat="false" ht="15" hidden="false" customHeight="false" outlineLevel="0" collapsed="false">
      <c r="A675" s="46" t="s">
        <v>970</v>
      </c>
      <c r="B675" s="46"/>
      <c r="C675" s="46"/>
      <c r="D675" s="46"/>
      <c r="E675" s="46"/>
      <c r="F675" s="46"/>
      <c r="G675" s="46"/>
      <c r="H675" s="46"/>
      <c r="I675" s="46"/>
      <c r="J675" s="46"/>
      <c r="K675" s="46"/>
      <c r="L675" s="46"/>
      <c r="M675" s="46" t="str">
        <f aca="false">IF(OR(B675="",I675=""),"",IFERROR(INDEX('Comment flow'!$C$40:$C$46,MATCH(I675,'Comment flow'!$A$40:$A$46,0)),""))</f>
        <v/>
      </c>
      <c r="N675" s="46" t="str">
        <f aca="false">IF(B675="","",IF(OR(I675="",I675="Open: needs a decision",L675=""),"Open","Closed"))</f>
        <v/>
      </c>
      <c r="O675" s="46"/>
      <c r="P675" s="46" t="str">
        <f aca="false">IF(OR(B675="",I675&lt;&gt;"Save for a later revision"),"",IF(COUNTIF('Deferred edits'!$K$2:$K$201,A675)&gt;0,"Yes","● Add to Deferred edits"))</f>
        <v/>
      </c>
    </row>
    <row r="676" customFormat="false" ht="15" hidden="false" customHeight="false" outlineLevel="0" collapsed="false">
      <c r="A676" s="46" t="s">
        <v>971</v>
      </c>
      <c r="B676" s="46"/>
      <c r="C676" s="46"/>
      <c r="D676" s="46"/>
      <c r="E676" s="46"/>
      <c r="F676" s="46"/>
      <c r="G676" s="46"/>
      <c r="H676" s="46"/>
      <c r="I676" s="46"/>
      <c r="J676" s="46"/>
      <c r="K676" s="46"/>
      <c r="L676" s="46"/>
      <c r="M676" s="46" t="str">
        <f aca="false">IF(OR(B676="",I676=""),"",IFERROR(INDEX('Comment flow'!$C$40:$C$46,MATCH(I676,'Comment flow'!$A$40:$A$46,0)),""))</f>
        <v/>
      </c>
      <c r="N676" s="46" t="str">
        <f aca="false">IF(B676="","",IF(OR(I676="",I676="Open: needs a decision",L676=""),"Open","Closed"))</f>
        <v/>
      </c>
      <c r="O676" s="46"/>
      <c r="P676" s="46" t="str">
        <f aca="false">IF(OR(B676="",I676&lt;&gt;"Save for a later revision"),"",IF(COUNTIF('Deferred edits'!$K$2:$K$201,A676)&gt;0,"Yes","● Add to Deferred edits"))</f>
        <v/>
      </c>
    </row>
    <row r="677" customFormat="false" ht="15" hidden="false" customHeight="false" outlineLevel="0" collapsed="false">
      <c r="A677" s="46" t="s">
        <v>972</v>
      </c>
      <c r="B677" s="46"/>
      <c r="C677" s="46"/>
      <c r="D677" s="46"/>
      <c r="E677" s="46"/>
      <c r="F677" s="46"/>
      <c r="G677" s="46"/>
      <c r="H677" s="46"/>
      <c r="I677" s="46"/>
      <c r="J677" s="46"/>
      <c r="K677" s="46"/>
      <c r="L677" s="46"/>
      <c r="M677" s="46" t="str">
        <f aca="false">IF(OR(B677="",I677=""),"",IFERROR(INDEX('Comment flow'!$C$40:$C$46,MATCH(I677,'Comment flow'!$A$40:$A$46,0)),""))</f>
        <v/>
      </c>
      <c r="N677" s="46" t="str">
        <f aca="false">IF(B677="","",IF(OR(I677="",I677="Open: needs a decision",L677=""),"Open","Closed"))</f>
        <v/>
      </c>
      <c r="O677" s="46"/>
      <c r="P677" s="46" t="str">
        <f aca="false">IF(OR(B677="",I677&lt;&gt;"Save for a later revision"),"",IF(COUNTIF('Deferred edits'!$K$2:$K$201,A677)&gt;0,"Yes","● Add to Deferred edits"))</f>
        <v/>
      </c>
    </row>
    <row r="678" customFormat="false" ht="15" hidden="false" customHeight="false" outlineLevel="0" collapsed="false">
      <c r="A678" s="46" t="s">
        <v>973</v>
      </c>
      <c r="B678" s="46"/>
      <c r="C678" s="46"/>
      <c r="D678" s="46"/>
      <c r="E678" s="46"/>
      <c r="F678" s="46"/>
      <c r="G678" s="46"/>
      <c r="H678" s="46"/>
      <c r="I678" s="46"/>
      <c r="J678" s="46"/>
      <c r="K678" s="46"/>
      <c r="L678" s="46"/>
      <c r="M678" s="46" t="str">
        <f aca="false">IF(OR(B678="",I678=""),"",IFERROR(INDEX('Comment flow'!$C$40:$C$46,MATCH(I678,'Comment flow'!$A$40:$A$46,0)),""))</f>
        <v/>
      </c>
      <c r="N678" s="46" t="str">
        <f aca="false">IF(B678="","",IF(OR(I678="",I678="Open: needs a decision",L678=""),"Open","Closed"))</f>
        <v/>
      </c>
      <c r="O678" s="46"/>
      <c r="P678" s="46" t="str">
        <f aca="false">IF(OR(B678="",I678&lt;&gt;"Save for a later revision"),"",IF(COUNTIF('Deferred edits'!$K$2:$K$201,A678)&gt;0,"Yes","● Add to Deferred edits"))</f>
        <v/>
      </c>
    </row>
    <row r="679" customFormat="false" ht="15" hidden="false" customHeight="false" outlineLevel="0" collapsed="false">
      <c r="A679" s="46" t="s">
        <v>974</v>
      </c>
      <c r="B679" s="46"/>
      <c r="C679" s="46"/>
      <c r="D679" s="46"/>
      <c r="E679" s="46"/>
      <c r="F679" s="46"/>
      <c r="G679" s="46"/>
      <c r="H679" s="46"/>
      <c r="I679" s="46"/>
      <c r="J679" s="46"/>
      <c r="K679" s="46"/>
      <c r="L679" s="46"/>
      <c r="M679" s="46" t="str">
        <f aca="false">IF(OR(B679="",I679=""),"",IFERROR(INDEX('Comment flow'!$C$40:$C$46,MATCH(I679,'Comment flow'!$A$40:$A$46,0)),""))</f>
        <v/>
      </c>
      <c r="N679" s="46" t="str">
        <f aca="false">IF(B679="","",IF(OR(I679="",I679="Open: needs a decision",L679=""),"Open","Closed"))</f>
        <v/>
      </c>
      <c r="O679" s="46"/>
      <c r="P679" s="46" t="str">
        <f aca="false">IF(OR(B679="",I679&lt;&gt;"Save for a later revision"),"",IF(COUNTIF('Deferred edits'!$K$2:$K$201,A679)&gt;0,"Yes","● Add to Deferred edits"))</f>
        <v/>
      </c>
    </row>
    <row r="680" customFormat="false" ht="15" hidden="false" customHeight="false" outlineLevel="0" collapsed="false">
      <c r="A680" s="46" t="s">
        <v>975</v>
      </c>
      <c r="B680" s="46"/>
      <c r="C680" s="46"/>
      <c r="D680" s="46"/>
      <c r="E680" s="46"/>
      <c r="F680" s="46"/>
      <c r="G680" s="46"/>
      <c r="H680" s="46"/>
      <c r="I680" s="46"/>
      <c r="J680" s="46"/>
      <c r="K680" s="46"/>
      <c r="L680" s="46"/>
      <c r="M680" s="46" t="str">
        <f aca="false">IF(OR(B680="",I680=""),"",IFERROR(INDEX('Comment flow'!$C$40:$C$46,MATCH(I680,'Comment flow'!$A$40:$A$46,0)),""))</f>
        <v/>
      </c>
      <c r="N680" s="46" t="str">
        <f aca="false">IF(B680="","",IF(OR(I680="",I680="Open: needs a decision",L680=""),"Open","Closed"))</f>
        <v/>
      </c>
      <c r="O680" s="46"/>
      <c r="P680" s="46" t="str">
        <f aca="false">IF(OR(B680="",I680&lt;&gt;"Save for a later revision"),"",IF(COUNTIF('Deferred edits'!$K$2:$K$201,A680)&gt;0,"Yes","● Add to Deferred edits"))</f>
        <v/>
      </c>
    </row>
    <row r="681" customFormat="false" ht="15" hidden="false" customHeight="false" outlineLevel="0" collapsed="false">
      <c r="A681" s="46" t="s">
        <v>976</v>
      </c>
      <c r="B681" s="46"/>
      <c r="C681" s="46"/>
      <c r="D681" s="46"/>
      <c r="E681" s="46"/>
      <c r="F681" s="46"/>
      <c r="G681" s="46"/>
      <c r="H681" s="46"/>
      <c r="I681" s="46"/>
      <c r="J681" s="46"/>
      <c r="K681" s="46"/>
      <c r="L681" s="46"/>
      <c r="M681" s="46" t="str">
        <f aca="false">IF(OR(B681="",I681=""),"",IFERROR(INDEX('Comment flow'!$C$40:$C$46,MATCH(I681,'Comment flow'!$A$40:$A$46,0)),""))</f>
        <v/>
      </c>
      <c r="N681" s="46" t="str">
        <f aca="false">IF(B681="","",IF(OR(I681="",I681="Open: needs a decision",L681=""),"Open","Closed"))</f>
        <v/>
      </c>
      <c r="O681" s="46"/>
      <c r="P681" s="46" t="str">
        <f aca="false">IF(OR(B681="",I681&lt;&gt;"Save for a later revision"),"",IF(COUNTIF('Deferred edits'!$K$2:$K$201,A681)&gt;0,"Yes","● Add to Deferred edits"))</f>
        <v/>
      </c>
    </row>
    <row r="682" customFormat="false" ht="15" hidden="false" customHeight="false" outlineLevel="0" collapsed="false">
      <c r="A682" s="46" t="s">
        <v>977</v>
      </c>
      <c r="B682" s="46"/>
      <c r="C682" s="46"/>
      <c r="D682" s="46"/>
      <c r="E682" s="46"/>
      <c r="F682" s="46"/>
      <c r="G682" s="46"/>
      <c r="H682" s="46"/>
      <c r="I682" s="46"/>
      <c r="J682" s="46"/>
      <c r="K682" s="46"/>
      <c r="L682" s="46"/>
      <c r="M682" s="46" t="str">
        <f aca="false">IF(OR(B682="",I682=""),"",IFERROR(INDEX('Comment flow'!$C$40:$C$46,MATCH(I682,'Comment flow'!$A$40:$A$46,0)),""))</f>
        <v/>
      </c>
      <c r="N682" s="46" t="str">
        <f aca="false">IF(B682="","",IF(OR(I682="",I682="Open: needs a decision",L682=""),"Open","Closed"))</f>
        <v/>
      </c>
      <c r="O682" s="46"/>
      <c r="P682" s="46" t="str">
        <f aca="false">IF(OR(B682="",I682&lt;&gt;"Save for a later revision"),"",IF(COUNTIF('Deferred edits'!$K$2:$K$201,A682)&gt;0,"Yes","● Add to Deferred edits"))</f>
        <v/>
      </c>
    </row>
    <row r="683" customFormat="false" ht="15" hidden="false" customHeight="false" outlineLevel="0" collapsed="false">
      <c r="A683" s="46" t="s">
        <v>978</v>
      </c>
      <c r="B683" s="46"/>
      <c r="C683" s="46"/>
      <c r="D683" s="46"/>
      <c r="E683" s="46"/>
      <c r="F683" s="46"/>
      <c r="G683" s="46"/>
      <c r="H683" s="46"/>
      <c r="I683" s="46"/>
      <c r="J683" s="46"/>
      <c r="K683" s="46"/>
      <c r="L683" s="46"/>
      <c r="M683" s="46" t="str">
        <f aca="false">IF(OR(B683="",I683=""),"",IFERROR(INDEX('Comment flow'!$C$40:$C$46,MATCH(I683,'Comment flow'!$A$40:$A$46,0)),""))</f>
        <v/>
      </c>
      <c r="N683" s="46" t="str">
        <f aca="false">IF(B683="","",IF(OR(I683="",I683="Open: needs a decision",L683=""),"Open","Closed"))</f>
        <v/>
      </c>
      <c r="O683" s="46"/>
      <c r="P683" s="46" t="str">
        <f aca="false">IF(OR(B683="",I683&lt;&gt;"Save for a later revision"),"",IF(COUNTIF('Deferred edits'!$K$2:$K$201,A683)&gt;0,"Yes","● Add to Deferred edits"))</f>
        <v/>
      </c>
    </row>
    <row r="684" customFormat="false" ht="15" hidden="false" customHeight="false" outlineLevel="0" collapsed="false">
      <c r="A684" s="46" t="s">
        <v>979</v>
      </c>
      <c r="B684" s="46"/>
      <c r="C684" s="46"/>
      <c r="D684" s="46"/>
      <c r="E684" s="46"/>
      <c r="F684" s="46"/>
      <c r="G684" s="46"/>
      <c r="H684" s="46"/>
      <c r="I684" s="46"/>
      <c r="J684" s="46"/>
      <c r="K684" s="46"/>
      <c r="L684" s="46"/>
      <c r="M684" s="46" t="str">
        <f aca="false">IF(OR(B684="",I684=""),"",IFERROR(INDEX('Comment flow'!$C$40:$C$46,MATCH(I684,'Comment flow'!$A$40:$A$46,0)),""))</f>
        <v/>
      </c>
      <c r="N684" s="46" t="str">
        <f aca="false">IF(B684="","",IF(OR(I684="",I684="Open: needs a decision",L684=""),"Open","Closed"))</f>
        <v/>
      </c>
      <c r="O684" s="46"/>
      <c r="P684" s="46" t="str">
        <f aca="false">IF(OR(B684="",I684&lt;&gt;"Save for a later revision"),"",IF(COUNTIF('Deferred edits'!$K$2:$K$201,A684)&gt;0,"Yes","● Add to Deferred edits"))</f>
        <v/>
      </c>
    </row>
    <row r="685" customFormat="false" ht="15" hidden="false" customHeight="false" outlineLevel="0" collapsed="false">
      <c r="A685" s="46" t="s">
        <v>980</v>
      </c>
      <c r="B685" s="46"/>
      <c r="C685" s="46"/>
      <c r="D685" s="46"/>
      <c r="E685" s="46"/>
      <c r="F685" s="46"/>
      <c r="G685" s="46"/>
      <c r="H685" s="46"/>
      <c r="I685" s="46"/>
      <c r="J685" s="46"/>
      <c r="K685" s="46"/>
      <c r="L685" s="46"/>
      <c r="M685" s="46" t="str">
        <f aca="false">IF(OR(B685="",I685=""),"",IFERROR(INDEX('Comment flow'!$C$40:$C$46,MATCH(I685,'Comment flow'!$A$40:$A$46,0)),""))</f>
        <v/>
      </c>
      <c r="N685" s="46" t="str">
        <f aca="false">IF(B685="","",IF(OR(I685="",I685="Open: needs a decision",L685=""),"Open","Closed"))</f>
        <v/>
      </c>
      <c r="O685" s="46"/>
      <c r="P685" s="46" t="str">
        <f aca="false">IF(OR(B685="",I685&lt;&gt;"Save for a later revision"),"",IF(COUNTIF('Deferred edits'!$K$2:$K$201,A685)&gt;0,"Yes","● Add to Deferred edits"))</f>
        <v/>
      </c>
    </row>
    <row r="686" customFormat="false" ht="15" hidden="false" customHeight="false" outlineLevel="0" collapsed="false">
      <c r="A686" s="46" t="s">
        <v>981</v>
      </c>
      <c r="B686" s="46"/>
      <c r="C686" s="46"/>
      <c r="D686" s="46"/>
      <c r="E686" s="46"/>
      <c r="F686" s="46"/>
      <c r="G686" s="46"/>
      <c r="H686" s="46"/>
      <c r="I686" s="46"/>
      <c r="J686" s="46"/>
      <c r="K686" s="46"/>
      <c r="L686" s="46"/>
      <c r="M686" s="46" t="str">
        <f aca="false">IF(OR(B686="",I686=""),"",IFERROR(INDEX('Comment flow'!$C$40:$C$46,MATCH(I686,'Comment flow'!$A$40:$A$46,0)),""))</f>
        <v/>
      </c>
      <c r="N686" s="46" t="str">
        <f aca="false">IF(B686="","",IF(OR(I686="",I686="Open: needs a decision",L686=""),"Open","Closed"))</f>
        <v/>
      </c>
      <c r="O686" s="46"/>
      <c r="P686" s="46" t="str">
        <f aca="false">IF(OR(B686="",I686&lt;&gt;"Save for a later revision"),"",IF(COUNTIF('Deferred edits'!$K$2:$K$201,A686)&gt;0,"Yes","● Add to Deferred edits"))</f>
        <v/>
      </c>
    </row>
    <row r="687" customFormat="false" ht="15" hidden="false" customHeight="false" outlineLevel="0" collapsed="false">
      <c r="A687" s="46" t="s">
        <v>982</v>
      </c>
      <c r="B687" s="46"/>
      <c r="C687" s="46"/>
      <c r="D687" s="46"/>
      <c r="E687" s="46"/>
      <c r="F687" s="46"/>
      <c r="G687" s="46"/>
      <c r="H687" s="46"/>
      <c r="I687" s="46"/>
      <c r="J687" s="46"/>
      <c r="K687" s="46"/>
      <c r="L687" s="46"/>
      <c r="M687" s="46" t="str">
        <f aca="false">IF(OR(B687="",I687=""),"",IFERROR(INDEX('Comment flow'!$C$40:$C$46,MATCH(I687,'Comment flow'!$A$40:$A$46,0)),""))</f>
        <v/>
      </c>
      <c r="N687" s="46" t="str">
        <f aca="false">IF(B687="","",IF(OR(I687="",I687="Open: needs a decision",L687=""),"Open","Closed"))</f>
        <v/>
      </c>
      <c r="O687" s="46"/>
      <c r="P687" s="46" t="str">
        <f aca="false">IF(OR(B687="",I687&lt;&gt;"Save for a later revision"),"",IF(COUNTIF('Deferred edits'!$K$2:$K$201,A687)&gt;0,"Yes","● Add to Deferred edits"))</f>
        <v/>
      </c>
    </row>
    <row r="688" customFormat="false" ht="15" hidden="false" customHeight="false" outlineLevel="0" collapsed="false">
      <c r="A688" s="46" t="s">
        <v>983</v>
      </c>
      <c r="B688" s="46"/>
      <c r="C688" s="46"/>
      <c r="D688" s="46"/>
      <c r="E688" s="46"/>
      <c r="F688" s="46"/>
      <c r="G688" s="46"/>
      <c r="H688" s="46"/>
      <c r="I688" s="46"/>
      <c r="J688" s="46"/>
      <c r="K688" s="46"/>
      <c r="L688" s="46"/>
      <c r="M688" s="46" t="str">
        <f aca="false">IF(OR(B688="",I688=""),"",IFERROR(INDEX('Comment flow'!$C$40:$C$46,MATCH(I688,'Comment flow'!$A$40:$A$46,0)),""))</f>
        <v/>
      </c>
      <c r="N688" s="46" t="str">
        <f aca="false">IF(B688="","",IF(OR(I688="",I688="Open: needs a decision",L688=""),"Open","Closed"))</f>
        <v/>
      </c>
      <c r="O688" s="46"/>
      <c r="P688" s="46" t="str">
        <f aca="false">IF(OR(B688="",I688&lt;&gt;"Save for a later revision"),"",IF(COUNTIF('Deferred edits'!$K$2:$K$201,A688)&gt;0,"Yes","● Add to Deferred edits"))</f>
        <v/>
      </c>
    </row>
    <row r="689" customFormat="false" ht="15" hidden="false" customHeight="false" outlineLevel="0" collapsed="false">
      <c r="A689" s="46" t="s">
        <v>984</v>
      </c>
      <c r="B689" s="46"/>
      <c r="C689" s="46"/>
      <c r="D689" s="46"/>
      <c r="E689" s="46"/>
      <c r="F689" s="46"/>
      <c r="G689" s="46"/>
      <c r="H689" s="46"/>
      <c r="I689" s="46"/>
      <c r="J689" s="46"/>
      <c r="K689" s="46"/>
      <c r="L689" s="46"/>
      <c r="M689" s="46" t="str">
        <f aca="false">IF(OR(B689="",I689=""),"",IFERROR(INDEX('Comment flow'!$C$40:$C$46,MATCH(I689,'Comment flow'!$A$40:$A$46,0)),""))</f>
        <v/>
      </c>
      <c r="N689" s="46" t="str">
        <f aca="false">IF(B689="","",IF(OR(I689="",I689="Open: needs a decision",L689=""),"Open","Closed"))</f>
        <v/>
      </c>
      <c r="O689" s="46"/>
      <c r="P689" s="46" t="str">
        <f aca="false">IF(OR(B689="",I689&lt;&gt;"Save for a later revision"),"",IF(COUNTIF('Deferred edits'!$K$2:$K$201,A689)&gt;0,"Yes","● Add to Deferred edits"))</f>
        <v/>
      </c>
    </row>
    <row r="690" customFormat="false" ht="15" hidden="false" customHeight="false" outlineLevel="0" collapsed="false">
      <c r="A690" s="46" t="s">
        <v>985</v>
      </c>
      <c r="B690" s="46"/>
      <c r="C690" s="46"/>
      <c r="D690" s="46"/>
      <c r="E690" s="46"/>
      <c r="F690" s="46"/>
      <c r="G690" s="46"/>
      <c r="H690" s="46"/>
      <c r="I690" s="46"/>
      <c r="J690" s="46"/>
      <c r="K690" s="46"/>
      <c r="L690" s="46"/>
      <c r="M690" s="46" t="str">
        <f aca="false">IF(OR(B690="",I690=""),"",IFERROR(INDEX('Comment flow'!$C$40:$C$46,MATCH(I690,'Comment flow'!$A$40:$A$46,0)),""))</f>
        <v/>
      </c>
      <c r="N690" s="46" t="str">
        <f aca="false">IF(B690="","",IF(OR(I690="",I690="Open: needs a decision",L690=""),"Open","Closed"))</f>
        <v/>
      </c>
      <c r="O690" s="46"/>
      <c r="P690" s="46" t="str">
        <f aca="false">IF(OR(B690="",I690&lt;&gt;"Save for a later revision"),"",IF(COUNTIF('Deferred edits'!$K$2:$K$201,A690)&gt;0,"Yes","● Add to Deferred edits"))</f>
        <v/>
      </c>
    </row>
    <row r="691" customFormat="false" ht="15" hidden="false" customHeight="false" outlineLevel="0" collapsed="false">
      <c r="A691" s="46" t="s">
        <v>986</v>
      </c>
      <c r="B691" s="46"/>
      <c r="C691" s="46"/>
      <c r="D691" s="46"/>
      <c r="E691" s="46"/>
      <c r="F691" s="46"/>
      <c r="G691" s="46"/>
      <c r="H691" s="46"/>
      <c r="I691" s="46"/>
      <c r="J691" s="46"/>
      <c r="K691" s="46"/>
      <c r="L691" s="46"/>
      <c r="M691" s="46" t="str">
        <f aca="false">IF(OR(B691="",I691=""),"",IFERROR(INDEX('Comment flow'!$C$40:$C$46,MATCH(I691,'Comment flow'!$A$40:$A$46,0)),""))</f>
        <v/>
      </c>
      <c r="N691" s="46" t="str">
        <f aca="false">IF(B691="","",IF(OR(I691="",I691="Open: needs a decision",L691=""),"Open","Closed"))</f>
        <v/>
      </c>
      <c r="O691" s="46"/>
      <c r="P691" s="46" t="str">
        <f aca="false">IF(OR(B691="",I691&lt;&gt;"Save for a later revision"),"",IF(COUNTIF('Deferred edits'!$K$2:$K$201,A691)&gt;0,"Yes","● Add to Deferred edits"))</f>
        <v/>
      </c>
    </row>
    <row r="692" customFormat="false" ht="15" hidden="false" customHeight="false" outlineLevel="0" collapsed="false">
      <c r="A692" s="46" t="s">
        <v>987</v>
      </c>
      <c r="B692" s="46"/>
      <c r="C692" s="46"/>
      <c r="D692" s="46"/>
      <c r="E692" s="46"/>
      <c r="F692" s="46"/>
      <c r="G692" s="46"/>
      <c r="H692" s="46"/>
      <c r="I692" s="46"/>
      <c r="J692" s="46"/>
      <c r="K692" s="46"/>
      <c r="L692" s="46"/>
      <c r="M692" s="46" t="str">
        <f aca="false">IF(OR(B692="",I692=""),"",IFERROR(INDEX('Comment flow'!$C$40:$C$46,MATCH(I692,'Comment flow'!$A$40:$A$46,0)),""))</f>
        <v/>
      </c>
      <c r="N692" s="46" t="str">
        <f aca="false">IF(B692="","",IF(OR(I692="",I692="Open: needs a decision",L692=""),"Open","Closed"))</f>
        <v/>
      </c>
      <c r="O692" s="46"/>
      <c r="P692" s="46" t="str">
        <f aca="false">IF(OR(B692="",I692&lt;&gt;"Save for a later revision"),"",IF(COUNTIF('Deferred edits'!$K$2:$K$201,A692)&gt;0,"Yes","● Add to Deferred edits"))</f>
        <v/>
      </c>
    </row>
    <row r="693" customFormat="false" ht="15" hidden="false" customHeight="false" outlineLevel="0" collapsed="false">
      <c r="A693" s="46" t="s">
        <v>988</v>
      </c>
      <c r="B693" s="46"/>
      <c r="C693" s="46"/>
      <c r="D693" s="46"/>
      <c r="E693" s="46"/>
      <c r="F693" s="46"/>
      <c r="G693" s="46"/>
      <c r="H693" s="46"/>
      <c r="I693" s="46"/>
      <c r="J693" s="46"/>
      <c r="K693" s="46"/>
      <c r="L693" s="46"/>
      <c r="M693" s="46" t="str">
        <f aca="false">IF(OR(B693="",I693=""),"",IFERROR(INDEX('Comment flow'!$C$40:$C$46,MATCH(I693,'Comment flow'!$A$40:$A$46,0)),""))</f>
        <v/>
      </c>
      <c r="N693" s="46" t="str">
        <f aca="false">IF(B693="","",IF(OR(I693="",I693="Open: needs a decision",L693=""),"Open","Closed"))</f>
        <v/>
      </c>
      <c r="O693" s="46"/>
      <c r="P693" s="46" t="str">
        <f aca="false">IF(OR(B693="",I693&lt;&gt;"Save for a later revision"),"",IF(COUNTIF('Deferred edits'!$K$2:$K$201,A693)&gt;0,"Yes","● Add to Deferred edits"))</f>
        <v/>
      </c>
    </row>
    <row r="694" customFormat="false" ht="15" hidden="false" customHeight="false" outlineLevel="0" collapsed="false">
      <c r="A694" s="46" t="s">
        <v>989</v>
      </c>
      <c r="B694" s="46"/>
      <c r="C694" s="46"/>
      <c r="D694" s="46"/>
      <c r="E694" s="46"/>
      <c r="F694" s="46"/>
      <c r="G694" s="46"/>
      <c r="H694" s="46"/>
      <c r="I694" s="46"/>
      <c r="J694" s="46"/>
      <c r="K694" s="46"/>
      <c r="L694" s="46"/>
      <c r="M694" s="46" t="str">
        <f aca="false">IF(OR(B694="",I694=""),"",IFERROR(INDEX('Comment flow'!$C$40:$C$46,MATCH(I694,'Comment flow'!$A$40:$A$46,0)),""))</f>
        <v/>
      </c>
      <c r="N694" s="46" t="str">
        <f aca="false">IF(B694="","",IF(OR(I694="",I694="Open: needs a decision",L694=""),"Open","Closed"))</f>
        <v/>
      </c>
      <c r="O694" s="46"/>
      <c r="P694" s="46" t="str">
        <f aca="false">IF(OR(B694="",I694&lt;&gt;"Save for a later revision"),"",IF(COUNTIF('Deferred edits'!$K$2:$K$201,A694)&gt;0,"Yes","● Add to Deferred edits"))</f>
        <v/>
      </c>
    </row>
    <row r="695" customFormat="false" ht="15" hidden="false" customHeight="false" outlineLevel="0" collapsed="false">
      <c r="A695" s="46" t="s">
        <v>990</v>
      </c>
      <c r="B695" s="46"/>
      <c r="C695" s="46"/>
      <c r="D695" s="46"/>
      <c r="E695" s="46"/>
      <c r="F695" s="46"/>
      <c r="G695" s="46"/>
      <c r="H695" s="46"/>
      <c r="I695" s="46"/>
      <c r="J695" s="46"/>
      <c r="K695" s="46"/>
      <c r="L695" s="46"/>
      <c r="M695" s="46" t="str">
        <f aca="false">IF(OR(B695="",I695=""),"",IFERROR(INDEX('Comment flow'!$C$40:$C$46,MATCH(I695,'Comment flow'!$A$40:$A$46,0)),""))</f>
        <v/>
      </c>
      <c r="N695" s="46" t="str">
        <f aca="false">IF(B695="","",IF(OR(I695="",I695="Open: needs a decision",L695=""),"Open","Closed"))</f>
        <v/>
      </c>
      <c r="O695" s="46"/>
      <c r="P695" s="46" t="str">
        <f aca="false">IF(OR(B695="",I695&lt;&gt;"Save for a later revision"),"",IF(COUNTIF('Deferred edits'!$K$2:$K$201,A695)&gt;0,"Yes","● Add to Deferred edits"))</f>
        <v/>
      </c>
    </row>
    <row r="696" customFormat="false" ht="15" hidden="false" customHeight="false" outlineLevel="0" collapsed="false">
      <c r="A696" s="46" t="s">
        <v>991</v>
      </c>
      <c r="B696" s="46"/>
      <c r="C696" s="46"/>
      <c r="D696" s="46"/>
      <c r="E696" s="46"/>
      <c r="F696" s="46"/>
      <c r="G696" s="46"/>
      <c r="H696" s="46"/>
      <c r="I696" s="46"/>
      <c r="J696" s="46"/>
      <c r="K696" s="46"/>
      <c r="L696" s="46"/>
      <c r="M696" s="46" t="str">
        <f aca="false">IF(OR(B696="",I696=""),"",IFERROR(INDEX('Comment flow'!$C$40:$C$46,MATCH(I696,'Comment flow'!$A$40:$A$46,0)),""))</f>
        <v/>
      </c>
      <c r="N696" s="46" t="str">
        <f aca="false">IF(B696="","",IF(OR(I696="",I696="Open: needs a decision",L696=""),"Open","Closed"))</f>
        <v/>
      </c>
      <c r="O696" s="46"/>
      <c r="P696" s="46" t="str">
        <f aca="false">IF(OR(B696="",I696&lt;&gt;"Save for a later revision"),"",IF(COUNTIF('Deferred edits'!$K$2:$K$201,A696)&gt;0,"Yes","● Add to Deferred edits"))</f>
        <v/>
      </c>
    </row>
    <row r="697" customFormat="false" ht="15" hidden="false" customHeight="false" outlineLevel="0" collapsed="false">
      <c r="A697" s="46" t="s">
        <v>992</v>
      </c>
      <c r="B697" s="46"/>
      <c r="C697" s="46"/>
      <c r="D697" s="46"/>
      <c r="E697" s="46"/>
      <c r="F697" s="46"/>
      <c r="G697" s="46"/>
      <c r="H697" s="46"/>
      <c r="I697" s="46"/>
      <c r="J697" s="46"/>
      <c r="K697" s="46"/>
      <c r="L697" s="46"/>
      <c r="M697" s="46" t="str">
        <f aca="false">IF(OR(B697="",I697=""),"",IFERROR(INDEX('Comment flow'!$C$40:$C$46,MATCH(I697,'Comment flow'!$A$40:$A$46,0)),""))</f>
        <v/>
      </c>
      <c r="N697" s="46" t="str">
        <f aca="false">IF(B697="","",IF(OR(I697="",I697="Open: needs a decision",L697=""),"Open","Closed"))</f>
        <v/>
      </c>
      <c r="O697" s="46"/>
      <c r="P697" s="46" t="str">
        <f aca="false">IF(OR(B697="",I697&lt;&gt;"Save for a later revision"),"",IF(COUNTIF('Deferred edits'!$K$2:$K$201,A697)&gt;0,"Yes","● Add to Deferred edits"))</f>
        <v/>
      </c>
    </row>
    <row r="698" customFormat="false" ht="15" hidden="false" customHeight="false" outlineLevel="0" collapsed="false">
      <c r="A698" s="46" t="s">
        <v>993</v>
      </c>
      <c r="B698" s="46"/>
      <c r="C698" s="46"/>
      <c r="D698" s="46"/>
      <c r="E698" s="46"/>
      <c r="F698" s="46"/>
      <c r="G698" s="46"/>
      <c r="H698" s="46"/>
      <c r="I698" s="46"/>
      <c r="J698" s="46"/>
      <c r="K698" s="46"/>
      <c r="L698" s="46"/>
      <c r="M698" s="46" t="str">
        <f aca="false">IF(OR(B698="",I698=""),"",IFERROR(INDEX('Comment flow'!$C$40:$C$46,MATCH(I698,'Comment flow'!$A$40:$A$46,0)),""))</f>
        <v/>
      </c>
      <c r="N698" s="46" t="str">
        <f aca="false">IF(B698="","",IF(OR(I698="",I698="Open: needs a decision",L698=""),"Open","Closed"))</f>
        <v/>
      </c>
      <c r="O698" s="46"/>
      <c r="P698" s="46" t="str">
        <f aca="false">IF(OR(B698="",I698&lt;&gt;"Save for a later revision"),"",IF(COUNTIF('Deferred edits'!$K$2:$K$201,A698)&gt;0,"Yes","● Add to Deferred edits"))</f>
        <v/>
      </c>
    </row>
    <row r="699" customFormat="false" ht="15" hidden="false" customHeight="false" outlineLevel="0" collapsed="false">
      <c r="A699" s="46" t="s">
        <v>994</v>
      </c>
      <c r="B699" s="46"/>
      <c r="C699" s="46"/>
      <c r="D699" s="46"/>
      <c r="E699" s="46"/>
      <c r="F699" s="46"/>
      <c r="G699" s="46"/>
      <c r="H699" s="46"/>
      <c r="I699" s="46"/>
      <c r="J699" s="46"/>
      <c r="K699" s="46"/>
      <c r="L699" s="46"/>
      <c r="M699" s="46" t="str">
        <f aca="false">IF(OR(B699="",I699=""),"",IFERROR(INDEX('Comment flow'!$C$40:$C$46,MATCH(I699,'Comment flow'!$A$40:$A$46,0)),""))</f>
        <v/>
      </c>
      <c r="N699" s="46" t="str">
        <f aca="false">IF(B699="","",IF(OR(I699="",I699="Open: needs a decision",L699=""),"Open","Closed"))</f>
        <v/>
      </c>
      <c r="O699" s="46"/>
      <c r="P699" s="46" t="str">
        <f aca="false">IF(OR(B699="",I699&lt;&gt;"Save for a later revision"),"",IF(COUNTIF('Deferred edits'!$K$2:$K$201,A699)&gt;0,"Yes","● Add to Deferred edits"))</f>
        <v/>
      </c>
    </row>
    <row r="700" customFormat="false" ht="15" hidden="false" customHeight="false" outlineLevel="0" collapsed="false">
      <c r="A700" s="46" t="s">
        <v>995</v>
      </c>
      <c r="B700" s="46"/>
      <c r="C700" s="46"/>
      <c r="D700" s="46"/>
      <c r="E700" s="46"/>
      <c r="F700" s="46"/>
      <c r="G700" s="46"/>
      <c r="H700" s="46"/>
      <c r="I700" s="46"/>
      <c r="J700" s="46"/>
      <c r="K700" s="46"/>
      <c r="L700" s="46"/>
      <c r="M700" s="46" t="str">
        <f aca="false">IF(OR(B700="",I700=""),"",IFERROR(INDEX('Comment flow'!$C$40:$C$46,MATCH(I700,'Comment flow'!$A$40:$A$46,0)),""))</f>
        <v/>
      </c>
      <c r="N700" s="46" t="str">
        <f aca="false">IF(B700="","",IF(OR(I700="",I700="Open: needs a decision",L700=""),"Open","Closed"))</f>
        <v/>
      </c>
      <c r="O700" s="46"/>
      <c r="P700" s="46" t="str">
        <f aca="false">IF(OR(B700="",I700&lt;&gt;"Save for a later revision"),"",IF(COUNTIF('Deferred edits'!$K$2:$K$201,A700)&gt;0,"Yes","● Add to Deferred edits"))</f>
        <v/>
      </c>
    </row>
    <row r="701" customFormat="false" ht="15" hidden="false" customHeight="false" outlineLevel="0" collapsed="false">
      <c r="A701" s="46" t="s">
        <v>996</v>
      </c>
      <c r="B701" s="46"/>
      <c r="C701" s="46"/>
      <c r="D701" s="46"/>
      <c r="E701" s="46"/>
      <c r="F701" s="46"/>
      <c r="G701" s="46"/>
      <c r="H701" s="46"/>
      <c r="I701" s="46"/>
      <c r="J701" s="46"/>
      <c r="K701" s="46"/>
      <c r="L701" s="46"/>
      <c r="M701" s="46" t="str">
        <f aca="false">IF(OR(B701="",I701=""),"",IFERROR(INDEX('Comment flow'!$C$40:$C$46,MATCH(I701,'Comment flow'!$A$40:$A$46,0)),""))</f>
        <v/>
      </c>
      <c r="N701" s="46" t="str">
        <f aca="false">IF(B701="","",IF(OR(I701="",I701="Open: needs a decision",L701=""),"Open","Closed"))</f>
        <v/>
      </c>
      <c r="O701" s="46"/>
      <c r="P701" s="46" t="str">
        <f aca="false">IF(OR(B701="",I701&lt;&gt;"Save for a later revision"),"",IF(COUNTIF('Deferred edits'!$K$2:$K$201,A701)&gt;0,"Yes","● Add to Deferred edits"))</f>
        <v/>
      </c>
    </row>
    <row r="702" customFormat="false" ht="15" hidden="false" customHeight="false" outlineLevel="0" collapsed="false">
      <c r="A702" s="46" t="s">
        <v>997</v>
      </c>
      <c r="B702" s="46"/>
      <c r="C702" s="46"/>
      <c r="D702" s="46"/>
      <c r="E702" s="46"/>
      <c r="F702" s="46"/>
      <c r="G702" s="46"/>
      <c r="H702" s="46"/>
      <c r="I702" s="46"/>
      <c r="J702" s="46"/>
      <c r="K702" s="46"/>
      <c r="L702" s="46"/>
      <c r="M702" s="46" t="str">
        <f aca="false">IF(OR(B702="",I702=""),"",IFERROR(INDEX('Comment flow'!$C$40:$C$46,MATCH(I702,'Comment flow'!$A$40:$A$46,0)),""))</f>
        <v/>
      </c>
      <c r="N702" s="46" t="str">
        <f aca="false">IF(B702="","",IF(OR(I702="",I702="Open: needs a decision",L702=""),"Open","Closed"))</f>
        <v/>
      </c>
      <c r="O702" s="46"/>
      <c r="P702" s="46" t="str">
        <f aca="false">IF(OR(B702="",I702&lt;&gt;"Save for a later revision"),"",IF(COUNTIF('Deferred edits'!$K$2:$K$201,A702)&gt;0,"Yes","● Add to Deferred edits"))</f>
        <v/>
      </c>
    </row>
    <row r="703" customFormat="false" ht="15" hidden="false" customHeight="false" outlineLevel="0" collapsed="false">
      <c r="A703" s="46" t="s">
        <v>998</v>
      </c>
      <c r="B703" s="46"/>
      <c r="C703" s="46"/>
      <c r="D703" s="46"/>
      <c r="E703" s="46"/>
      <c r="F703" s="46"/>
      <c r="G703" s="46"/>
      <c r="H703" s="46"/>
      <c r="I703" s="46"/>
      <c r="J703" s="46"/>
      <c r="K703" s="46"/>
      <c r="L703" s="46"/>
      <c r="M703" s="46" t="str">
        <f aca="false">IF(OR(B703="",I703=""),"",IFERROR(INDEX('Comment flow'!$C$40:$C$46,MATCH(I703,'Comment flow'!$A$40:$A$46,0)),""))</f>
        <v/>
      </c>
      <c r="N703" s="46" t="str">
        <f aca="false">IF(B703="","",IF(OR(I703="",I703="Open: needs a decision",L703=""),"Open","Closed"))</f>
        <v/>
      </c>
      <c r="O703" s="46"/>
      <c r="P703" s="46" t="str">
        <f aca="false">IF(OR(B703="",I703&lt;&gt;"Save for a later revision"),"",IF(COUNTIF('Deferred edits'!$K$2:$K$201,A703)&gt;0,"Yes","● Add to Deferred edits"))</f>
        <v/>
      </c>
    </row>
    <row r="704" customFormat="false" ht="15" hidden="false" customHeight="false" outlineLevel="0" collapsed="false">
      <c r="A704" s="46" t="s">
        <v>999</v>
      </c>
      <c r="B704" s="46"/>
      <c r="C704" s="46"/>
      <c r="D704" s="46"/>
      <c r="E704" s="46"/>
      <c r="F704" s="46"/>
      <c r="G704" s="46"/>
      <c r="H704" s="46"/>
      <c r="I704" s="46"/>
      <c r="J704" s="46"/>
      <c r="K704" s="46"/>
      <c r="L704" s="46"/>
      <c r="M704" s="46" t="str">
        <f aca="false">IF(OR(B704="",I704=""),"",IFERROR(INDEX('Comment flow'!$C$40:$C$46,MATCH(I704,'Comment flow'!$A$40:$A$46,0)),""))</f>
        <v/>
      </c>
      <c r="N704" s="46" t="str">
        <f aca="false">IF(B704="","",IF(OR(I704="",I704="Open: needs a decision",L704=""),"Open","Closed"))</f>
        <v/>
      </c>
      <c r="O704" s="46"/>
      <c r="P704" s="46" t="str">
        <f aca="false">IF(OR(B704="",I704&lt;&gt;"Save for a later revision"),"",IF(COUNTIF('Deferred edits'!$K$2:$K$201,A704)&gt;0,"Yes","● Add to Deferred edits"))</f>
        <v/>
      </c>
    </row>
    <row r="705" customFormat="false" ht="15" hidden="false" customHeight="false" outlineLevel="0" collapsed="false">
      <c r="A705" s="46" t="s">
        <v>1000</v>
      </c>
      <c r="B705" s="46"/>
      <c r="C705" s="46"/>
      <c r="D705" s="46"/>
      <c r="E705" s="46"/>
      <c r="F705" s="46"/>
      <c r="G705" s="46"/>
      <c r="H705" s="46"/>
      <c r="I705" s="46"/>
      <c r="J705" s="46"/>
      <c r="K705" s="46"/>
      <c r="L705" s="46"/>
      <c r="M705" s="46" t="str">
        <f aca="false">IF(OR(B705="",I705=""),"",IFERROR(INDEX('Comment flow'!$C$40:$C$46,MATCH(I705,'Comment flow'!$A$40:$A$46,0)),""))</f>
        <v/>
      </c>
      <c r="N705" s="46" t="str">
        <f aca="false">IF(B705="","",IF(OR(I705="",I705="Open: needs a decision",L705=""),"Open","Closed"))</f>
        <v/>
      </c>
      <c r="O705" s="46"/>
      <c r="P705" s="46" t="str">
        <f aca="false">IF(OR(B705="",I705&lt;&gt;"Save for a later revision"),"",IF(COUNTIF('Deferred edits'!$K$2:$K$201,A705)&gt;0,"Yes","● Add to Deferred edits"))</f>
        <v/>
      </c>
    </row>
    <row r="706" customFormat="false" ht="15" hidden="false" customHeight="false" outlineLevel="0" collapsed="false">
      <c r="A706" s="46" t="s">
        <v>1001</v>
      </c>
      <c r="B706" s="46"/>
      <c r="C706" s="46"/>
      <c r="D706" s="46"/>
      <c r="E706" s="46"/>
      <c r="F706" s="46"/>
      <c r="G706" s="46"/>
      <c r="H706" s="46"/>
      <c r="I706" s="46"/>
      <c r="J706" s="46"/>
      <c r="K706" s="46"/>
      <c r="L706" s="46"/>
      <c r="M706" s="46" t="str">
        <f aca="false">IF(OR(B706="",I706=""),"",IFERROR(INDEX('Comment flow'!$C$40:$C$46,MATCH(I706,'Comment flow'!$A$40:$A$46,0)),""))</f>
        <v/>
      </c>
      <c r="N706" s="46" t="str">
        <f aca="false">IF(B706="","",IF(OR(I706="",I706="Open: needs a decision",L706=""),"Open","Closed"))</f>
        <v/>
      </c>
      <c r="O706" s="46"/>
      <c r="P706" s="46" t="str">
        <f aca="false">IF(OR(B706="",I706&lt;&gt;"Save for a later revision"),"",IF(COUNTIF('Deferred edits'!$K$2:$K$201,A706)&gt;0,"Yes","● Add to Deferred edits"))</f>
        <v/>
      </c>
    </row>
    <row r="707" customFormat="false" ht="15" hidden="false" customHeight="false" outlineLevel="0" collapsed="false">
      <c r="A707" s="46" t="s">
        <v>1002</v>
      </c>
      <c r="B707" s="46"/>
      <c r="C707" s="46"/>
      <c r="D707" s="46"/>
      <c r="E707" s="46"/>
      <c r="F707" s="46"/>
      <c r="G707" s="46"/>
      <c r="H707" s="46"/>
      <c r="I707" s="46"/>
      <c r="J707" s="46"/>
      <c r="K707" s="46"/>
      <c r="L707" s="46"/>
      <c r="M707" s="46" t="str">
        <f aca="false">IF(OR(B707="",I707=""),"",IFERROR(INDEX('Comment flow'!$C$40:$C$46,MATCH(I707,'Comment flow'!$A$40:$A$46,0)),""))</f>
        <v/>
      </c>
      <c r="N707" s="46" t="str">
        <f aca="false">IF(B707="","",IF(OR(I707="",I707="Open: needs a decision",L707=""),"Open","Closed"))</f>
        <v/>
      </c>
      <c r="O707" s="46"/>
      <c r="P707" s="46" t="str">
        <f aca="false">IF(OR(B707="",I707&lt;&gt;"Save for a later revision"),"",IF(COUNTIF('Deferred edits'!$K$2:$K$201,A707)&gt;0,"Yes","● Add to Deferred edits"))</f>
        <v/>
      </c>
    </row>
    <row r="708" customFormat="false" ht="15" hidden="false" customHeight="false" outlineLevel="0" collapsed="false">
      <c r="A708" s="46" t="s">
        <v>1003</v>
      </c>
      <c r="B708" s="46"/>
      <c r="C708" s="46"/>
      <c r="D708" s="46"/>
      <c r="E708" s="46"/>
      <c r="F708" s="46"/>
      <c r="G708" s="46"/>
      <c r="H708" s="46"/>
      <c r="I708" s="46"/>
      <c r="J708" s="46"/>
      <c r="K708" s="46"/>
      <c r="L708" s="46"/>
      <c r="M708" s="46" t="str">
        <f aca="false">IF(OR(B708="",I708=""),"",IFERROR(INDEX('Comment flow'!$C$40:$C$46,MATCH(I708,'Comment flow'!$A$40:$A$46,0)),""))</f>
        <v/>
      </c>
      <c r="N708" s="46" t="str">
        <f aca="false">IF(B708="","",IF(OR(I708="",I708="Open: needs a decision",L708=""),"Open","Closed"))</f>
        <v/>
      </c>
      <c r="O708" s="46"/>
      <c r="P708" s="46" t="str">
        <f aca="false">IF(OR(B708="",I708&lt;&gt;"Save for a later revision"),"",IF(COUNTIF('Deferred edits'!$K$2:$K$201,A708)&gt;0,"Yes","● Add to Deferred edits"))</f>
        <v/>
      </c>
    </row>
    <row r="709" customFormat="false" ht="15" hidden="false" customHeight="false" outlineLevel="0" collapsed="false">
      <c r="A709" s="46" t="s">
        <v>1004</v>
      </c>
      <c r="B709" s="46"/>
      <c r="C709" s="46"/>
      <c r="D709" s="46"/>
      <c r="E709" s="46"/>
      <c r="F709" s="46"/>
      <c r="G709" s="46"/>
      <c r="H709" s="46"/>
      <c r="I709" s="46"/>
      <c r="J709" s="46"/>
      <c r="K709" s="46"/>
      <c r="L709" s="46"/>
      <c r="M709" s="46" t="str">
        <f aca="false">IF(OR(B709="",I709=""),"",IFERROR(INDEX('Comment flow'!$C$40:$C$46,MATCH(I709,'Comment flow'!$A$40:$A$46,0)),""))</f>
        <v/>
      </c>
      <c r="N709" s="46" t="str">
        <f aca="false">IF(B709="","",IF(OR(I709="",I709="Open: needs a decision",L709=""),"Open","Closed"))</f>
        <v/>
      </c>
      <c r="O709" s="46"/>
      <c r="P709" s="46" t="str">
        <f aca="false">IF(OR(B709="",I709&lt;&gt;"Save for a later revision"),"",IF(COUNTIF('Deferred edits'!$K$2:$K$201,A709)&gt;0,"Yes","● Add to Deferred edits"))</f>
        <v/>
      </c>
    </row>
    <row r="710" customFormat="false" ht="15" hidden="false" customHeight="false" outlineLevel="0" collapsed="false">
      <c r="A710" s="46" t="s">
        <v>1005</v>
      </c>
      <c r="B710" s="46"/>
      <c r="C710" s="46"/>
      <c r="D710" s="46"/>
      <c r="E710" s="46"/>
      <c r="F710" s="46"/>
      <c r="G710" s="46"/>
      <c r="H710" s="46"/>
      <c r="I710" s="46"/>
      <c r="J710" s="46"/>
      <c r="K710" s="46"/>
      <c r="L710" s="46"/>
      <c r="M710" s="46" t="str">
        <f aca="false">IF(OR(B710="",I710=""),"",IFERROR(INDEX('Comment flow'!$C$40:$C$46,MATCH(I710,'Comment flow'!$A$40:$A$46,0)),""))</f>
        <v/>
      </c>
      <c r="N710" s="46" t="str">
        <f aca="false">IF(B710="","",IF(OR(I710="",I710="Open: needs a decision",L710=""),"Open","Closed"))</f>
        <v/>
      </c>
      <c r="O710" s="46"/>
      <c r="P710" s="46" t="str">
        <f aca="false">IF(OR(B710="",I710&lt;&gt;"Save for a later revision"),"",IF(COUNTIF('Deferred edits'!$K$2:$K$201,A710)&gt;0,"Yes","● Add to Deferred edits"))</f>
        <v/>
      </c>
    </row>
    <row r="711" customFormat="false" ht="15" hidden="false" customHeight="false" outlineLevel="0" collapsed="false">
      <c r="A711" s="46" t="s">
        <v>1006</v>
      </c>
      <c r="B711" s="46"/>
      <c r="C711" s="46"/>
      <c r="D711" s="46"/>
      <c r="E711" s="46"/>
      <c r="F711" s="46"/>
      <c r="G711" s="46"/>
      <c r="H711" s="46"/>
      <c r="I711" s="46"/>
      <c r="J711" s="46"/>
      <c r="K711" s="46"/>
      <c r="L711" s="46"/>
      <c r="M711" s="46" t="str">
        <f aca="false">IF(OR(B711="",I711=""),"",IFERROR(INDEX('Comment flow'!$C$40:$C$46,MATCH(I711,'Comment flow'!$A$40:$A$46,0)),""))</f>
        <v/>
      </c>
      <c r="N711" s="46" t="str">
        <f aca="false">IF(B711="","",IF(OR(I711="",I711="Open: needs a decision",L711=""),"Open","Closed"))</f>
        <v/>
      </c>
      <c r="O711" s="46"/>
      <c r="P711" s="46" t="str">
        <f aca="false">IF(OR(B711="",I711&lt;&gt;"Save for a later revision"),"",IF(COUNTIF('Deferred edits'!$K$2:$K$201,A711)&gt;0,"Yes","● Add to Deferred edits"))</f>
        <v/>
      </c>
    </row>
    <row r="712" customFormat="false" ht="15" hidden="false" customHeight="false" outlineLevel="0" collapsed="false">
      <c r="A712" s="46" t="s">
        <v>1007</v>
      </c>
      <c r="B712" s="46"/>
      <c r="C712" s="46"/>
      <c r="D712" s="46"/>
      <c r="E712" s="46"/>
      <c r="F712" s="46"/>
      <c r="G712" s="46"/>
      <c r="H712" s="46"/>
      <c r="I712" s="46"/>
      <c r="J712" s="46"/>
      <c r="K712" s="46"/>
      <c r="L712" s="46"/>
      <c r="M712" s="46" t="str">
        <f aca="false">IF(OR(B712="",I712=""),"",IFERROR(INDEX('Comment flow'!$C$40:$C$46,MATCH(I712,'Comment flow'!$A$40:$A$46,0)),""))</f>
        <v/>
      </c>
      <c r="N712" s="46" t="str">
        <f aca="false">IF(B712="","",IF(OR(I712="",I712="Open: needs a decision",L712=""),"Open","Closed"))</f>
        <v/>
      </c>
      <c r="O712" s="46"/>
      <c r="P712" s="46" t="str">
        <f aca="false">IF(OR(B712="",I712&lt;&gt;"Save for a later revision"),"",IF(COUNTIF('Deferred edits'!$K$2:$K$201,A712)&gt;0,"Yes","● Add to Deferred edits"))</f>
        <v/>
      </c>
    </row>
    <row r="713" customFormat="false" ht="15" hidden="false" customHeight="false" outlineLevel="0" collapsed="false">
      <c r="A713" s="46" t="s">
        <v>1008</v>
      </c>
      <c r="B713" s="46"/>
      <c r="C713" s="46"/>
      <c r="D713" s="46"/>
      <c r="E713" s="46"/>
      <c r="F713" s="46"/>
      <c r="G713" s="46"/>
      <c r="H713" s="46"/>
      <c r="I713" s="46"/>
      <c r="J713" s="46"/>
      <c r="K713" s="46"/>
      <c r="L713" s="46"/>
      <c r="M713" s="46" t="str">
        <f aca="false">IF(OR(B713="",I713=""),"",IFERROR(INDEX('Comment flow'!$C$40:$C$46,MATCH(I713,'Comment flow'!$A$40:$A$46,0)),""))</f>
        <v/>
      </c>
      <c r="N713" s="46" t="str">
        <f aca="false">IF(B713="","",IF(OR(I713="",I713="Open: needs a decision",L713=""),"Open","Closed"))</f>
        <v/>
      </c>
      <c r="O713" s="46"/>
      <c r="P713" s="46" t="str">
        <f aca="false">IF(OR(B713="",I713&lt;&gt;"Save for a later revision"),"",IF(COUNTIF('Deferred edits'!$K$2:$K$201,A713)&gt;0,"Yes","● Add to Deferred edits"))</f>
        <v/>
      </c>
    </row>
    <row r="714" customFormat="false" ht="15" hidden="false" customHeight="false" outlineLevel="0" collapsed="false">
      <c r="A714" s="46" t="s">
        <v>1009</v>
      </c>
      <c r="B714" s="46"/>
      <c r="C714" s="46"/>
      <c r="D714" s="46"/>
      <c r="E714" s="46"/>
      <c r="F714" s="46"/>
      <c r="G714" s="46"/>
      <c r="H714" s="46"/>
      <c r="I714" s="46"/>
      <c r="J714" s="46"/>
      <c r="K714" s="46"/>
      <c r="L714" s="46"/>
      <c r="M714" s="46" t="str">
        <f aca="false">IF(OR(B714="",I714=""),"",IFERROR(INDEX('Comment flow'!$C$40:$C$46,MATCH(I714,'Comment flow'!$A$40:$A$46,0)),""))</f>
        <v/>
      </c>
      <c r="N714" s="46" t="str">
        <f aca="false">IF(B714="","",IF(OR(I714="",I714="Open: needs a decision",L714=""),"Open","Closed"))</f>
        <v/>
      </c>
      <c r="O714" s="46"/>
      <c r="P714" s="46" t="str">
        <f aca="false">IF(OR(B714="",I714&lt;&gt;"Save for a later revision"),"",IF(COUNTIF('Deferred edits'!$K$2:$K$201,A714)&gt;0,"Yes","● Add to Deferred edits"))</f>
        <v/>
      </c>
    </row>
    <row r="715" customFormat="false" ht="15" hidden="false" customHeight="false" outlineLevel="0" collapsed="false">
      <c r="A715" s="46" t="s">
        <v>1010</v>
      </c>
      <c r="B715" s="46"/>
      <c r="C715" s="46"/>
      <c r="D715" s="46"/>
      <c r="E715" s="46"/>
      <c r="F715" s="46"/>
      <c r="G715" s="46"/>
      <c r="H715" s="46"/>
      <c r="I715" s="46"/>
      <c r="J715" s="46"/>
      <c r="K715" s="46"/>
      <c r="L715" s="46"/>
      <c r="M715" s="46" t="str">
        <f aca="false">IF(OR(B715="",I715=""),"",IFERROR(INDEX('Comment flow'!$C$40:$C$46,MATCH(I715,'Comment flow'!$A$40:$A$46,0)),""))</f>
        <v/>
      </c>
      <c r="N715" s="46" t="str">
        <f aca="false">IF(B715="","",IF(OR(I715="",I715="Open: needs a decision",L715=""),"Open","Closed"))</f>
        <v/>
      </c>
      <c r="O715" s="46"/>
      <c r="P715" s="46" t="str">
        <f aca="false">IF(OR(B715="",I715&lt;&gt;"Save for a later revision"),"",IF(COUNTIF('Deferred edits'!$K$2:$K$201,A715)&gt;0,"Yes","● Add to Deferred edits"))</f>
        <v/>
      </c>
    </row>
    <row r="716" customFormat="false" ht="15" hidden="false" customHeight="false" outlineLevel="0" collapsed="false">
      <c r="A716" s="46" t="s">
        <v>1011</v>
      </c>
      <c r="B716" s="46"/>
      <c r="C716" s="46"/>
      <c r="D716" s="46"/>
      <c r="E716" s="46"/>
      <c r="F716" s="46"/>
      <c r="G716" s="46"/>
      <c r="H716" s="46"/>
      <c r="I716" s="46"/>
      <c r="J716" s="46"/>
      <c r="K716" s="46"/>
      <c r="L716" s="46"/>
      <c r="M716" s="46" t="str">
        <f aca="false">IF(OR(B716="",I716=""),"",IFERROR(INDEX('Comment flow'!$C$40:$C$46,MATCH(I716,'Comment flow'!$A$40:$A$46,0)),""))</f>
        <v/>
      </c>
      <c r="N716" s="46" t="str">
        <f aca="false">IF(B716="","",IF(OR(I716="",I716="Open: needs a decision",L716=""),"Open","Closed"))</f>
        <v/>
      </c>
      <c r="O716" s="46"/>
      <c r="P716" s="46" t="str">
        <f aca="false">IF(OR(B716="",I716&lt;&gt;"Save for a later revision"),"",IF(COUNTIF('Deferred edits'!$K$2:$K$201,A716)&gt;0,"Yes","● Add to Deferred edits"))</f>
        <v/>
      </c>
    </row>
    <row r="717" customFormat="false" ht="15" hidden="false" customHeight="false" outlineLevel="0" collapsed="false">
      <c r="A717" s="46" t="s">
        <v>1012</v>
      </c>
      <c r="B717" s="46"/>
      <c r="C717" s="46"/>
      <c r="D717" s="46"/>
      <c r="E717" s="46"/>
      <c r="F717" s="46"/>
      <c r="G717" s="46"/>
      <c r="H717" s="46"/>
      <c r="I717" s="46"/>
      <c r="J717" s="46"/>
      <c r="K717" s="46"/>
      <c r="L717" s="46"/>
      <c r="M717" s="46" t="str">
        <f aca="false">IF(OR(B717="",I717=""),"",IFERROR(INDEX('Comment flow'!$C$40:$C$46,MATCH(I717,'Comment flow'!$A$40:$A$46,0)),""))</f>
        <v/>
      </c>
      <c r="N717" s="46" t="str">
        <f aca="false">IF(B717="","",IF(OR(I717="",I717="Open: needs a decision",L717=""),"Open","Closed"))</f>
        <v/>
      </c>
      <c r="O717" s="46"/>
      <c r="P717" s="46" t="str">
        <f aca="false">IF(OR(B717="",I717&lt;&gt;"Save for a later revision"),"",IF(COUNTIF('Deferred edits'!$K$2:$K$201,A717)&gt;0,"Yes","● Add to Deferred edits"))</f>
        <v/>
      </c>
    </row>
    <row r="718" customFormat="false" ht="15" hidden="false" customHeight="false" outlineLevel="0" collapsed="false">
      <c r="A718" s="46" t="s">
        <v>1013</v>
      </c>
      <c r="B718" s="46"/>
      <c r="C718" s="46"/>
      <c r="D718" s="46"/>
      <c r="E718" s="46"/>
      <c r="F718" s="46"/>
      <c r="G718" s="46"/>
      <c r="H718" s="46"/>
      <c r="I718" s="46"/>
      <c r="J718" s="46"/>
      <c r="K718" s="46"/>
      <c r="L718" s="46"/>
      <c r="M718" s="46" t="str">
        <f aca="false">IF(OR(B718="",I718=""),"",IFERROR(INDEX('Comment flow'!$C$40:$C$46,MATCH(I718,'Comment flow'!$A$40:$A$46,0)),""))</f>
        <v/>
      </c>
      <c r="N718" s="46" t="str">
        <f aca="false">IF(B718="","",IF(OR(I718="",I718="Open: needs a decision",L718=""),"Open","Closed"))</f>
        <v/>
      </c>
      <c r="O718" s="46"/>
      <c r="P718" s="46" t="str">
        <f aca="false">IF(OR(B718="",I718&lt;&gt;"Save for a later revision"),"",IF(COUNTIF('Deferred edits'!$K$2:$K$201,A718)&gt;0,"Yes","● Add to Deferred edits"))</f>
        <v/>
      </c>
    </row>
    <row r="719" customFormat="false" ht="15" hidden="false" customHeight="false" outlineLevel="0" collapsed="false">
      <c r="A719" s="46" t="s">
        <v>1014</v>
      </c>
      <c r="B719" s="46"/>
      <c r="C719" s="46"/>
      <c r="D719" s="46"/>
      <c r="E719" s="46"/>
      <c r="F719" s="46"/>
      <c r="G719" s="46"/>
      <c r="H719" s="46"/>
      <c r="I719" s="46"/>
      <c r="J719" s="46"/>
      <c r="K719" s="46"/>
      <c r="L719" s="46"/>
      <c r="M719" s="46" t="str">
        <f aca="false">IF(OR(B719="",I719=""),"",IFERROR(INDEX('Comment flow'!$C$40:$C$46,MATCH(I719,'Comment flow'!$A$40:$A$46,0)),""))</f>
        <v/>
      </c>
      <c r="N719" s="46" t="str">
        <f aca="false">IF(B719="","",IF(OR(I719="",I719="Open: needs a decision",L719=""),"Open","Closed"))</f>
        <v/>
      </c>
      <c r="O719" s="46"/>
      <c r="P719" s="46" t="str">
        <f aca="false">IF(OR(B719="",I719&lt;&gt;"Save for a later revision"),"",IF(COUNTIF('Deferred edits'!$K$2:$K$201,A719)&gt;0,"Yes","● Add to Deferred edits"))</f>
        <v/>
      </c>
    </row>
    <row r="720" customFormat="false" ht="15" hidden="false" customHeight="false" outlineLevel="0" collapsed="false">
      <c r="A720" s="46" t="s">
        <v>1015</v>
      </c>
      <c r="B720" s="46"/>
      <c r="C720" s="46"/>
      <c r="D720" s="46"/>
      <c r="E720" s="46"/>
      <c r="F720" s="46"/>
      <c r="G720" s="46"/>
      <c r="H720" s="46"/>
      <c r="I720" s="46"/>
      <c r="J720" s="46"/>
      <c r="K720" s="46"/>
      <c r="L720" s="46"/>
      <c r="M720" s="46" t="str">
        <f aca="false">IF(OR(B720="",I720=""),"",IFERROR(INDEX('Comment flow'!$C$40:$C$46,MATCH(I720,'Comment flow'!$A$40:$A$46,0)),""))</f>
        <v/>
      </c>
      <c r="N720" s="46" t="str">
        <f aca="false">IF(B720="","",IF(OR(I720="",I720="Open: needs a decision",L720=""),"Open","Closed"))</f>
        <v/>
      </c>
      <c r="O720" s="46"/>
      <c r="P720" s="46" t="str">
        <f aca="false">IF(OR(B720="",I720&lt;&gt;"Save for a later revision"),"",IF(COUNTIF('Deferred edits'!$K$2:$K$201,A720)&gt;0,"Yes","● Add to Deferred edits"))</f>
        <v/>
      </c>
    </row>
    <row r="721" customFormat="false" ht="15" hidden="false" customHeight="false" outlineLevel="0" collapsed="false">
      <c r="A721" s="46" t="s">
        <v>1016</v>
      </c>
      <c r="B721" s="46"/>
      <c r="C721" s="46"/>
      <c r="D721" s="46"/>
      <c r="E721" s="46"/>
      <c r="F721" s="46"/>
      <c r="G721" s="46"/>
      <c r="H721" s="46"/>
      <c r="I721" s="46"/>
      <c r="J721" s="46"/>
      <c r="K721" s="46"/>
      <c r="L721" s="46"/>
      <c r="M721" s="46" t="str">
        <f aca="false">IF(OR(B721="",I721=""),"",IFERROR(INDEX('Comment flow'!$C$40:$C$46,MATCH(I721,'Comment flow'!$A$40:$A$46,0)),""))</f>
        <v/>
      </c>
      <c r="N721" s="46" t="str">
        <f aca="false">IF(B721="","",IF(OR(I721="",I721="Open: needs a decision",L721=""),"Open","Closed"))</f>
        <v/>
      </c>
      <c r="O721" s="46"/>
      <c r="P721" s="46" t="str">
        <f aca="false">IF(OR(B721="",I721&lt;&gt;"Save for a later revision"),"",IF(COUNTIF('Deferred edits'!$K$2:$K$201,A721)&gt;0,"Yes","● Add to Deferred edits"))</f>
        <v/>
      </c>
    </row>
    <row r="722" customFormat="false" ht="15" hidden="false" customHeight="false" outlineLevel="0" collapsed="false">
      <c r="A722" s="46" t="s">
        <v>1017</v>
      </c>
      <c r="B722" s="46"/>
      <c r="C722" s="46"/>
      <c r="D722" s="46"/>
      <c r="E722" s="46"/>
      <c r="F722" s="46"/>
      <c r="G722" s="46"/>
      <c r="H722" s="46"/>
      <c r="I722" s="46"/>
      <c r="J722" s="46"/>
      <c r="K722" s="46"/>
      <c r="L722" s="46"/>
      <c r="M722" s="46" t="str">
        <f aca="false">IF(OR(B722="",I722=""),"",IFERROR(INDEX('Comment flow'!$C$40:$C$46,MATCH(I722,'Comment flow'!$A$40:$A$46,0)),""))</f>
        <v/>
      </c>
      <c r="N722" s="46" t="str">
        <f aca="false">IF(B722="","",IF(OR(I722="",I722="Open: needs a decision",L722=""),"Open","Closed"))</f>
        <v/>
      </c>
      <c r="O722" s="46"/>
      <c r="P722" s="46" t="str">
        <f aca="false">IF(OR(B722="",I722&lt;&gt;"Save for a later revision"),"",IF(COUNTIF('Deferred edits'!$K$2:$K$201,A722)&gt;0,"Yes","● Add to Deferred edits"))</f>
        <v/>
      </c>
    </row>
    <row r="723" customFormat="false" ht="15" hidden="false" customHeight="false" outlineLevel="0" collapsed="false">
      <c r="A723" s="46" t="s">
        <v>1018</v>
      </c>
      <c r="B723" s="46"/>
      <c r="C723" s="46"/>
      <c r="D723" s="46"/>
      <c r="E723" s="46"/>
      <c r="F723" s="46"/>
      <c r="G723" s="46"/>
      <c r="H723" s="46"/>
      <c r="I723" s="46"/>
      <c r="J723" s="46"/>
      <c r="K723" s="46"/>
      <c r="L723" s="46"/>
      <c r="M723" s="46" t="str">
        <f aca="false">IF(OR(B723="",I723=""),"",IFERROR(INDEX('Comment flow'!$C$40:$C$46,MATCH(I723,'Comment flow'!$A$40:$A$46,0)),""))</f>
        <v/>
      </c>
      <c r="N723" s="46" t="str">
        <f aca="false">IF(B723="","",IF(OR(I723="",I723="Open: needs a decision",L723=""),"Open","Closed"))</f>
        <v/>
      </c>
      <c r="O723" s="46"/>
      <c r="P723" s="46" t="str">
        <f aca="false">IF(OR(B723="",I723&lt;&gt;"Save for a later revision"),"",IF(COUNTIF('Deferred edits'!$K$2:$K$201,A723)&gt;0,"Yes","● Add to Deferred edits"))</f>
        <v/>
      </c>
    </row>
    <row r="724" customFormat="false" ht="15" hidden="false" customHeight="false" outlineLevel="0" collapsed="false">
      <c r="A724" s="46" t="s">
        <v>1019</v>
      </c>
      <c r="B724" s="46"/>
      <c r="C724" s="46"/>
      <c r="D724" s="46"/>
      <c r="E724" s="46"/>
      <c r="F724" s="46"/>
      <c r="G724" s="46"/>
      <c r="H724" s="46"/>
      <c r="I724" s="46"/>
      <c r="J724" s="46"/>
      <c r="K724" s="46"/>
      <c r="L724" s="46"/>
      <c r="M724" s="46" t="str">
        <f aca="false">IF(OR(B724="",I724=""),"",IFERROR(INDEX('Comment flow'!$C$40:$C$46,MATCH(I724,'Comment flow'!$A$40:$A$46,0)),""))</f>
        <v/>
      </c>
      <c r="N724" s="46" t="str">
        <f aca="false">IF(B724="","",IF(OR(I724="",I724="Open: needs a decision",L724=""),"Open","Closed"))</f>
        <v/>
      </c>
      <c r="O724" s="46"/>
      <c r="P724" s="46" t="str">
        <f aca="false">IF(OR(B724="",I724&lt;&gt;"Save for a later revision"),"",IF(COUNTIF('Deferred edits'!$K$2:$K$201,A724)&gt;0,"Yes","● Add to Deferred edits"))</f>
        <v/>
      </c>
    </row>
    <row r="725" customFormat="false" ht="15" hidden="false" customHeight="false" outlineLevel="0" collapsed="false">
      <c r="A725" s="46" t="s">
        <v>1020</v>
      </c>
      <c r="B725" s="46"/>
      <c r="C725" s="46"/>
      <c r="D725" s="46"/>
      <c r="E725" s="46"/>
      <c r="F725" s="46"/>
      <c r="G725" s="46"/>
      <c r="H725" s="46"/>
      <c r="I725" s="46"/>
      <c r="J725" s="46"/>
      <c r="K725" s="46"/>
      <c r="L725" s="46"/>
      <c r="M725" s="46" t="str">
        <f aca="false">IF(OR(B725="",I725=""),"",IFERROR(INDEX('Comment flow'!$C$40:$C$46,MATCH(I725,'Comment flow'!$A$40:$A$46,0)),""))</f>
        <v/>
      </c>
      <c r="N725" s="46" t="str">
        <f aca="false">IF(B725="","",IF(OR(I725="",I725="Open: needs a decision",L725=""),"Open","Closed"))</f>
        <v/>
      </c>
      <c r="O725" s="46"/>
      <c r="P725" s="46" t="str">
        <f aca="false">IF(OR(B725="",I725&lt;&gt;"Save for a later revision"),"",IF(COUNTIF('Deferred edits'!$K$2:$K$201,A725)&gt;0,"Yes","● Add to Deferred edits"))</f>
        <v/>
      </c>
    </row>
    <row r="726" customFormat="false" ht="15" hidden="false" customHeight="false" outlineLevel="0" collapsed="false">
      <c r="A726" s="46" t="s">
        <v>1021</v>
      </c>
      <c r="B726" s="46"/>
      <c r="C726" s="46"/>
      <c r="D726" s="46"/>
      <c r="E726" s="46"/>
      <c r="F726" s="46"/>
      <c r="G726" s="46"/>
      <c r="H726" s="46"/>
      <c r="I726" s="46"/>
      <c r="J726" s="46"/>
      <c r="K726" s="46"/>
      <c r="L726" s="46"/>
      <c r="M726" s="46" t="str">
        <f aca="false">IF(OR(B726="",I726=""),"",IFERROR(INDEX('Comment flow'!$C$40:$C$46,MATCH(I726,'Comment flow'!$A$40:$A$46,0)),""))</f>
        <v/>
      </c>
      <c r="N726" s="46" t="str">
        <f aca="false">IF(B726="","",IF(OR(I726="",I726="Open: needs a decision",L726=""),"Open","Closed"))</f>
        <v/>
      </c>
      <c r="O726" s="46"/>
      <c r="P726" s="46" t="str">
        <f aca="false">IF(OR(B726="",I726&lt;&gt;"Save for a later revision"),"",IF(COUNTIF('Deferred edits'!$K$2:$K$201,A726)&gt;0,"Yes","● Add to Deferred edits"))</f>
        <v/>
      </c>
    </row>
    <row r="727" customFormat="false" ht="15" hidden="false" customHeight="false" outlineLevel="0" collapsed="false">
      <c r="A727" s="46" t="s">
        <v>1022</v>
      </c>
      <c r="B727" s="46"/>
      <c r="C727" s="46"/>
      <c r="D727" s="46"/>
      <c r="E727" s="46"/>
      <c r="F727" s="46"/>
      <c r="G727" s="46"/>
      <c r="H727" s="46"/>
      <c r="I727" s="46"/>
      <c r="J727" s="46"/>
      <c r="K727" s="46"/>
      <c r="L727" s="46"/>
      <c r="M727" s="46" t="str">
        <f aca="false">IF(OR(B727="",I727=""),"",IFERROR(INDEX('Comment flow'!$C$40:$C$46,MATCH(I727,'Comment flow'!$A$40:$A$46,0)),""))</f>
        <v/>
      </c>
      <c r="N727" s="46" t="str">
        <f aca="false">IF(B727="","",IF(OR(I727="",I727="Open: needs a decision",L727=""),"Open","Closed"))</f>
        <v/>
      </c>
      <c r="O727" s="46"/>
      <c r="P727" s="46" t="str">
        <f aca="false">IF(OR(B727="",I727&lt;&gt;"Save for a later revision"),"",IF(COUNTIF('Deferred edits'!$K$2:$K$201,A727)&gt;0,"Yes","● Add to Deferred edits"))</f>
        <v/>
      </c>
    </row>
    <row r="728" customFormat="false" ht="15" hidden="false" customHeight="false" outlineLevel="0" collapsed="false">
      <c r="A728" s="46" t="s">
        <v>1023</v>
      </c>
      <c r="B728" s="46"/>
      <c r="C728" s="46"/>
      <c r="D728" s="46"/>
      <c r="E728" s="46"/>
      <c r="F728" s="46"/>
      <c r="G728" s="46"/>
      <c r="H728" s="46"/>
      <c r="I728" s="46"/>
      <c r="J728" s="46"/>
      <c r="K728" s="46"/>
      <c r="L728" s="46"/>
      <c r="M728" s="46" t="str">
        <f aca="false">IF(OR(B728="",I728=""),"",IFERROR(INDEX('Comment flow'!$C$40:$C$46,MATCH(I728,'Comment flow'!$A$40:$A$46,0)),""))</f>
        <v/>
      </c>
      <c r="N728" s="46" t="str">
        <f aca="false">IF(B728="","",IF(OR(I728="",I728="Open: needs a decision",L728=""),"Open","Closed"))</f>
        <v/>
      </c>
      <c r="O728" s="46"/>
      <c r="P728" s="46" t="str">
        <f aca="false">IF(OR(B728="",I728&lt;&gt;"Save for a later revision"),"",IF(COUNTIF('Deferred edits'!$K$2:$K$201,A728)&gt;0,"Yes","● Add to Deferred edits"))</f>
        <v/>
      </c>
    </row>
    <row r="729" customFormat="false" ht="15" hidden="false" customHeight="false" outlineLevel="0" collapsed="false">
      <c r="A729" s="46" t="s">
        <v>1024</v>
      </c>
      <c r="B729" s="46"/>
      <c r="C729" s="46"/>
      <c r="D729" s="46"/>
      <c r="E729" s="46"/>
      <c r="F729" s="46"/>
      <c r="G729" s="46"/>
      <c r="H729" s="46"/>
      <c r="I729" s="46"/>
      <c r="J729" s="46"/>
      <c r="K729" s="46"/>
      <c r="L729" s="46"/>
      <c r="M729" s="46" t="str">
        <f aca="false">IF(OR(B729="",I729=""),"",IFERROR(INDEX('Comment flow'!$C$40:$C$46,MATCH(I729,'Comment flow'!$A$40:$A$46,0)),""))</f>
        <v/>
      </c>
      <c r="N729" s="46" t="str">
        <f aca="false">IF(B729="","",IF(OR(I729="",I729="Open: needs a decision",L729=""),"Open","Closed"))</f>
        <v/>
      </c>
      <c r="O729" s="46"/>
      <c r="P729" s="46" t="str">
        <f aca="false">IF(OR(B729="",I729&lt;&gt;"Save for a later revision"),"",IF(COUNTIF('Deferred edits'!$K$2:$K$201,A729)&gt;0,"Yes","● Add to Deferred edits"))</f>
        <v/>
      </c>
    </row>
    <row r="730" customFormat="false" ht="15" hidden="false" customHeight="false" outlineLevel="0" collapsed="false">
      <c r="A730" s="46" t="s">
        <v>1025</v>
      </c>
      <c r="B730" s="46"/>
      <c r="C730" s="46"/>
      <c r="D730" s="46"/>
      <c r="E730" s="46"/>
      <c r="F730" s="46"/>
      <c r="G730" s="46"/>
      <c r="H730" s="46"/>
      <c r="I730" s="46"/>
      <c r="J730" s="46"/>
      <c r="K730" s="46"/>
      <c r="L730" s="46"/>
      <c r="M730" s="46" t="str">
        <f aca="false">IF(OR(B730="",I730=""),"",IFERROR(INDEX('Comment flow'!$C$40:$C$46,MATCH(I730,'Comment flow'!$A$40:$A$46,0)),""))</f>
        <v/>
      </c>
      <c r="N730" s="46" t="str">
        <f aca="false">IF(B730="","",IF(OR(I730="",I730="Open: needs a decision",L730=""),"Open","Closed"))</f>
        <v/>
      </c>
      <c r="O730" s="46"/>
      <c r="P730" s="46" t="str">
        <f aca="false">IF(OR(B730="",I730&lt;&gt;"Save for a later revision"),"",IF(COUNTIF('Deferred edits'!$K$2:$K$201,A730)&gt;0,"Yes","● Add to Deferred edits"))</f>
        <v/>
      </c>
    </row>
    <row r="731" customFormat="false" ht="15" hidden="false" customHeight="false" outlineLevel="0" collapsed="false">
      <c r="A731" s="46" t="s">
        <v>1026</v>
      </c>
      <c r="B731" s="46"/>
      <c r="C731" s="46"/>
      <c r="D731" s="46"/>
      <c r="E731" s="46"/>
      <c r="F731" s="46"/>
      <c r="G731" s="46"/>
      <c r="H731" s="46"/>
      <c r="I731" s="46"/>
      <c r="J731" s="46"/>
      <c r="K731" s="46"/>
      <c r="L731" s="46"/>
      <c r="M731" s="46" t="str">
        <f aca="false">IF(OR(B731="",I731=""),"",IFERROR(INDEX('Comment flow'!$C$40:$C$46,MATCH(I731,'Comment flow'!$A$40:$A$46,0)),""))</f>
        <v/>
      </c>
      <c r="N731" s="46" t="str">
        <f aca="false">IF(B731="","",IF(OR(I731="",I731="Open: needs a decision",L731=""),"Open","Closed"))</f>
        <v/>
      </c>
      <c r="O731" s="46"/>
      <c r="P731" s="46" t="str">
        <f aca="false">IF(OR(B731="",I731&lt;&gt;"Save for a later revision"),"",IF(COUNTIF('Deferred edits'!$K$2:$K$201,A731)&gt;0,"Yes","● Add to Deferred edits"))</f>
        <v/>
      </c>
    </row>
    <row r="732" customFormat="false" ht="15" hidden="false" customHeight="false" outlineLevel="0" collapsed="false">
      <c r="A732" s="46" t="s">
        <v>1027</v>
      </c>
      <c r="B732" s="46"/>
      <c r="C732" s="46"/>
      <c r="D732" s="46"/>
      <c r="E732" s="46"/>
      <c r="F732" s="46"/>
      <c r="G732" s="46"/>
      <c r="H732" s="46"/>
      <c r="I732" s="46"/>
      <c r="J732" s="46"/>
      <c r="K732" s="46"/>
      <c r="L732" s="46"/>
      <c r="M732" s="46" t="str">
        <f aca="false">IF(OR(B732="",I732=""),"",IFERROR(INDEX('Comment flow'!$C$40:$C$46,MATCH(I732,'Comment flow'!$A$40:$A$46,0)),""))</f>
        <v/>
      </c>
      <c r="N732" s="46" t="str">
        <f aca="false">IF(B732="","",IF(OR(I732="",I732="Open: needs a decision",L732=""),"Open","Closed"))</f>
        <v/>
      </c>
      <c r="O732" s="46"/>
      <c r="P732" s="46" t="str">
        <f aca="false">IF(OR(B732="",I732&lt;&gt;"Save for a later revision"),"",IF(COUNTIF('Deferred edits'!$K$2:$K$201,A732)&gt;0,"Yes","● Add to Deferred edits"))</f>
        <v/>
      </c>
    </row>
    <row r="733" customFormat="false" ht="15" hidden="false" customHeight="false" outlineLevel="0" collapsed="false">
      <c r="A733" s="46" t="s">
        <v>1028</v>
      </c>
      <c r="B733" s="46"/>
      <c r="C733" s="46"/>
      <c r="D733" s="46"/>
      <c r="E733" s="46"/>
      <c r="F733" s="46"/>
      <c r="G733" s="46"/>
      <c r="H733" s="46"/>
      <c r="I733" s="46"/>
      <c r="J733" s="46"/>
      <c r="K733" s="46"/>
      <c r="L733" s="46"/>
      <c r="M733" s="46" t="str">
        <f aca="false">IF(OR(B733="",I733=""),"",IFERROR(INDEX('Comment flow'!$C$40:$C$46,MATCH(I733,'Comment flow'!$A$40:$A$46,0)),""))</f>
        <v/>
      </c>
      <c r="N733" s="46" t="str">
        <f aca="false">IF(B733="","",IF(OR(I733="",I733="Open: needs a decision",L733=""),"Open","Closed"))</f>
        <v/>
      </c>
      <c r="O733" s="46"/>
      <c r="P733" s="46" t="str">
        <f aca="false">IF(OR(B733="",I733&lt;&gt;"Save for a later revision"),"",IF(COUNTIF('Deferred edits'!$K$2:$K$201,A733)&gt;0,"Yes","● Add to Deferred edits"))</f>
        <v/>
      </c>
    </row>
    <row r="734" customFormat="false" ht="15" hidden="false" customHeight="false" outlineLevel="0" collapsed="false">
      <c r="A734" s="46" t="s">
        <v>1029</v>
      </c>
      <c r="B734" s="46"/>
      <c r="C734" s="46"/>
      <c r="D734" s="46"/>
      <c r="E734" s="46"/>
      <c r="F734" s="46"/>
      <c r="G734" s="46"/>
      <c r="H734" s="46"/>
      <c r="I734" s="46"/>
      <c r="J734" s="46"/>
      <c r="K734" s="46"/>
      <c r="L734" s="46"/>
      <c r="M734" s="46" t="str">
        <f aca="false">IF(OR(B734="",I734=""),"",IFERROR(INDEX('Comment flow'!$C$40:$C$46,MATCH(I734,'Comment flow'!$A$40:$A$46,0)),""))</f>
        <v/>
      </c>
      <c r="N734" s="46" t="str">
        <f aca="false">IF(B734="","",IF(OR(I734="",I734="Open: needs a decision",L734=""),"Open","Closed"))</f>
        <v/>
      </c>
      <c r="O734" s="46"/>
      <c r="P734" s="46" t="str">
        <f aca="false">IF(OR(B734="",I734&lt;&gt;"Save for a later revision"),"",IF(COUNTIF('Deferred edits'!$K$2:$K$201,A734)&gt;0,"Yes","● Add to Deferred edits"))</f>
        <v/>
      </c>
    </row>
    <row r="735" customFormat="false" ht="15" hidden="false" customHeight="false" outlineLevel="0" collapsed="false">
      <c r="A735" s="46" t="s">
        <v>1030</v>
      </c>
      <c r="B735" s="46"/>
      <c r="C735" s="46"/>
      <c r="D735" s="46"/>
      <c r="E735" s="46"/>
      <c r="F735" s="46"/>
      <c r="G735" s="46"/>
      <c r="H735" s="46"/>
      <c r="I735" s="46"/>
      <c r="J735" s="46"/>
      <c r="K735" s="46"/>
      <c r="L735" s="46"/>
      <c r="M735" s="46" t="str">
        <f aca="false">IF(OR(B735="",I735=""),"",IFERROR(INDEX('Comment flow'!$C$40:$C$46,MATCH(I735,'Comment flow'!$A$40:$A$46,0)),""))</f>
        <v/>
      </c>
      <c r="N735" s="46" t="str">
        <f aca="false">IF(B735="","",IF(OR(I735="",I735="Open: needs a decision",L735=""),"Open","Closed"))</f>
        <v/>
      </c>
      <c r="O735" s="46"/>
      <c r="P735" s="46" t="str">
        <f aca="false">IF(OR(B735="",I735&lt;&gt;"Save for a later revision"),"",IF(COUNTIF('Deferred edits'!$K$2:$K$201,A735)&gt;0,"Yes","● Add to Deferred edits"))</f>
        <v/>
      </c>
    </row>
    <row r="736" customFormat="false" ht="15" hidden="false" customHeight="false" outlineLevel="0" collapsed="false">
      <c r="A736" s="46" t="s">
        <v>1031</v>
      </c>
      <c r="B736" s="46"/>
      <c r="C736" s="46"/>
      <c r="D736" s="46"/>
      <c r="E736" s="46"/>
      <c r="F736" s="46"/>
      <c r="G736" s="46"/>
      <c r="H736" s="46"/>
      <c r="I736" s="46"/>
      <c r="J736" s="46"/>
      <c r="K736" s="46"/>
      <c r="L736" s="46"/>
      <c r="M736" s="46" t="str">
        <f aca="false">IF(OR(B736="",I736=""),"",IFERROR(INDEX('Comment flow'!$C$40:$C$46,MATCH(I736,'Comment flow'!$A$40:$A$46,0)),""))</f>
        <v/>
      </c>
      <c r="N736" s="46" t="str">
        <f aca="false">IF(B736="","",IF(OR(I736="",I736="Open: needs a decision",L736=""),"Open","Closed"))</f>
        <v/>
      </c>
      <c r="O736" s="46"/>
      <c r="P736" s="46" t="str">
        <f aca="false">IF(OR(B736="",I736&lt;&gt;"Save for a later revision"),"",IF(COUNTIF('Deferred edits'!$K$2:$K$201,A736)&gt;0,"Yes","● Add to Deferred edits"))</f>
        <v/>
      </c>
    </row>
    <row r="737" customFormat="false" ht="15" hidden="false" customHeight="false" outlineLevel="0" collapsed="false">
      <c r="A737" s="46" t="s">
        <v>1032</v>
      </c>
      <c r="B737" s="46"/>
      <c r="C737" s="46"/>
      <c r="D737" s="46"/>
      <c r="E737" s="46"/>
      <c r="F737" s="46"/>
      <c r="G737" s="46"/>
      <c r="H737" s="46"/>
      <c r="I737" s="46"/>
      <c r="J737" s="46"/>
      <c r="K737" s="46"/>
      <c r="L737" s="46"/>
      <c r="M737" s="46" t="str">
        <f aca="false">IF(OR(B737="",I737=""),"",IFERROR(INDEX('Comment flow'!$C$40:$C$46,MATCH(I737,'Comment flow'!$A$40:$A$46,0)),""))</f>
        <v/>
      </c>
      <c r="N737" s="46" t="str">
        <f aca="false">IF(B737="","",IF(OR(I737="",I737="Open: needs a decision",L737=""),"Open","Closed"))</f>
        <v/>
      </c>
      <c r="O737" s="46"/>
      <c r="P737" s="46" t="str">
        <f aca="false">IF(OR(B737="",I737&lt;&gt;"Save for a later revision"),"",IF(COUNTIF('Deferred edits'!$K$2:$K$201,A737)&gt;0,"Yes","● Add to Deferred edits"))</f>
        <v/>
      </c>
    </row>
    <row r="738" customFormat="false" ht="15" hidden="false" customHeight="false" outlineLevel="0" collapsed="false">
      <c r="A738" s="46" t="s">
        <v>1033</v>
      </c>
      <c r="B738" s="46"/>
      <c r="C738" s="46"/>
      <c r="D738" s="46"/>
      <c r="E738" s="46"/>
      <c r="F738" s="46"/>
      <c r="G738" s="46"/>
      <c r="H738" s="46"/>
      <c r="I738" s="46"/>
      <c r="J738" s="46"/>
      <c r="K738" s="46"/>
      <c r="L738" s="46"/>
      <c r="M738" s="46" t="str">
        <f aca="false">IF(OR(B738="",I738=""),"",IFERROR(INDEX('Comment flow'!$C$40:$C$46,MATCH(I738,'Comment flow'!$A$40:$A$46,0)),""))</f>
        <v/>
      </c>
      <c r="N738" s="46" t="str">
        <f aca="false">IF(B738="","",IF(OR(I738="",I738="Open: needs a decision",L738=""),"Open","Closed"))</f>
        <v/>
      </c>
      <c r="O738" s="46"/>
      <c r="P738" s="46" t="str">
        <f aca="false">IF(OR(B738="",I738&lt;&gt;"Save for a later revision"),"",IF(COUNTIF('Deferred edits'!$K$2:$K$201,A738)&gt;0,"Yes","● Add to Deferred edits"))</f>
        <v/>
      </c>
    </row>
    <row r="739" customFormat="false" ht="15" hidden="false" customHeight="false" outlineLevel="0" collapsed="false">
      <c r="A739" s="46" t="s">
        <v>1034</v>
      </c>
      <c r="B739" s="46"/>
      <c r="C739" s="46"/>
      <c r="D739" s="46"/>
      <c r="E739" s="46"/>
      <c r="F739" s="46"/>
      <c r="G739" s="46"/>
      <c r="H739" s="46"/>
      <c r="I739" s="46"/>
      <c r="J739" s="46"/>
      <c r="K739" s="46"/>
      <c r="L739" s="46"/>
      <c r="M739" s="46" t="str">
        <f aca="false">IF(OR(B739="",I739=""),"",IFERROR(INDEX('Comment flow'!$C$40:$C$46,MATCH(I739,'Comment flow'!$A$40:$A$46,0)),""))</f>
        <v/>
      </c>
      <c r="N739" s="46" t="str">
        <f aca="false">IF(B739="","",IF(OR(I739="",I739="Open: needs a decision",L739=""),"Open","Closed"))</f>
        <v/>
      </c>
      <c r="O739" s="46"/>
      <c r="P739" s="46" t="str">
        <f aca="false">IF(OR(B739="",I739&lt;&gt;"Save for a later revision"),"",IF(COUNTIF('Deferred edits'!$K$2:$K$201,A739)&gt;0,"Yes","● Add to Deferred edits"))</f>
        <v/>
      </c>
    </row>
    <row r="740" customFormat="false" ht="15" hidden="false" customHeight="false" outlineLevel="0" collapsed="false">
      <c r="A740" s="46" t="s">
        <v>1035</v>
      </c>
      <c r="B740" s="46"/>
      <c r="C740" s="46"/>
      <c r="D740" s="46"/>
      <c r="E740" s="46"/>
      <c r="F740" s="46"/>
      <c r="G740" s="46"/>
      <c r="H740" s="46"/>
      <c r="I740" s="46"/>
      <c r="J740" s="46"/>
      <c r="K740" s="46"/>
      <c r="L740" s="46"/>
      <c r="M740" s="46" t="str">
        <f aca="false">IF(OR(B740="",I740=""),"",IFERROR(INDEX('Comment flow'!$C$40:$C$46,MATCH(I740,'Comment flow'!$A$40:$A$46,0)),""))</f>
        <v/>
      </c>
      <c r="N740" s="46" t="str">
        <f aca="false">IF(B740="","",IF(OR(I740="",I740="Open: needs a decision",L740=""),"Open","Closed"))</f>
        <v/>
      </c>
      <c r="O740" s="46"/>
      <c r="P740" s="46" t="str">
        <f aca="false">IF(OR(B740="",I740&lt;&gt;"Save for a later revision"),"",IF(COUNTIF('Deferred edits'!$K$2:$K$201,A740)&gt;0,"Yes","● Add to Deferred edits"))</f>
        <v/>
      </c>
    </row>
    <row r="741" customFormat="false" ht="15" hidden="false" customHeight="false" outlineLevel="0" collapsed="false">
      <c r="A741" s="46" t="s">
        <v>1036</v>
      </c>
      <c r="B741" s="46"/>
      <c r="C741" s="46"/>
      <c r="D741" s="46"/>
      <c r="E741" s="46"/>
      <c r="F741" s="46"/>
      <c r="G741" s="46"/>
      <c r="H741" s="46"/>
      <c r="I741" s="46"/>
      <c r="J741" s="46"/>
      <c r="K741" s="46"/>
      <c r="L741" s="46"/>
      <c r="M741" s="46" t="str">
        <f aca="false">IF(OR(B741="",I741=""),"",IFERROR(INDEX('Comment flow'!$C$40:$C$46,MATCH(I741,'Comment flow'!$A$40:$A$46,0)),""))</f>
        <v/>
      </c>
      <c r="N741" s="46" t="str">
        <f aca="false">IF(B741="","",IF(OR(I741="",I741="Open: needs a decision",L741=""),"Open","Closed"))</f>
        <v/>
      </c>
      <c r="O741" s="46"/>
      <c r="P741" s="46" t="str">
        <f aca="false">IF(OR(B741="",I741&lt;&gt;"Save for a later revision"),"",IF(COUNTIF('Deferred edits'!$K$2:$K$201,A741)&gt;0,"Yes","● Add to Deferred edits"))</f>
        <v/>
      </c>
    </row>
    <row r="742" customFormat="false" ht="15" hidden="false" customHeight="false" outlineLevel="0" collapsed="false">
      <c r="A742" s="46" t="s">
        <v>1037</v>
      </c>
      <c r="B742" s="46"/>
      <c r="C742" s="46"/>
      <c r="D742" s="46"/>
      <c r="E742" s="46"/>
      <c r="F742" s="46"/>
      <c r="G742" s="46"/>
      <c r="H742" s="46"/>
      <c r="I742" s="46"/>
      <c r="J742" s="46"/>
      <c r="K742" s="46"/>
      <c r="L742" s="46"/>
      <c r="M742" s="46" t="str">
        <f aca="false">IF(OR(B742="",I742=""),"",IFERROR(INDEX('Comment flow'!$C$40:$C$46,MATCH(I742,'Comment flow'!$A$40:$A$46,0)),""))</f>
        <v/>
      </c>
      <c r="N742" s="46" t="str">
        <f aca="false">IF(B742="","",IF(OR(I742="",I742="Open: needs a decision",L742=""),"Open","Closed"))</f>
        <v/>
      </c>
      <c r="O742" s="46"/>
      <c r="P742" s="46" t="str">
        <f aca="false">IF(OR(B742="",I742&lt;&gt;"Save for a later revision"),"",IF(COUNTIF('Deferred edits'!$K$2:$K$201,A742)&gt;0,"Yes","● Add to Deferred edits"))</f>
        <v/>
      </c>
    </row>
    <row r="743" customFormat="false" ht="15" hidden="false" customHeight="false" outlineLevel="0" collapsed="false">
      <c r="A743" s="46" t="s">
        <v>1038</v>
      </c>
      <c r="B743" s="46"/>
      <c r="C743" s="46"/>
      <c r="D743" s="46"/>
      <c r="E743" s="46"/>
      <c r="F743" s="46"/>
      <c r="G743" s="46"/>
      <c r="H743" s="46"/>
      <c r="I743" s="46"/>
      <c r="J743" s="46"/>
      <c r="K743" s="46"/>
      <c r="L743" s="46"/>
      <c r="M743" s="46" t="str">
        <f aca="false">IF(OR(B743="",I743=""),"",IFERROR(INDEX('Comment flow'!$C$40:$C$46,MATCH(I743,'Comment flow'!$A$40:$A$46,0)),""))</f>
        <v/>
      </c>
      <c r="N743" s="46" t="str">
        <f aca="false">IF(B743="","",IF(OR(I743="",I743="Open: needs a decision",L743=""),"Open","Closed"))</f>
        <v/>
      </c>
      <c r="O743" s="46"/>
      <c r="P743" s="46" t="str">
        <f aca="false">IF(OR(B743="",I743&lt;&gt;"Save for a later revision"),"",IF(COUNTIF('Deferred edits'!$K$2:$K$201,A743)&gt;0,"Yes","● Add to Deferred edits"))</f>
        <v/>
      </c>
    </row>
    <row r="744" customFormat="false" ht="15" hidden="false" customHeight="false" outlineLevel="0" collapsed="false">
      <c r="A744" s="46" t="s">
        <v>1039</v>
      </c>
      <c r="B744" s="46"/>
      <c r="C744" s="46"/>
      <c r="D744" s="46"/>
      <c r="E744" s="46"/>
      <c r="F744" s="46"/>
      <c r="G744" s="46"/>
      <c r="H744" s="46"/>
      <c r="I744" s="46"/>
      <c r="J744" s="46"/>
      <c r="K744" s="46"/>
      <c r="L744" s="46"/>
      <c r="M744" s="46" t="str">
        <f aca="false">IF(OR(B744="",I744=""),"",IFERROR(INDEX('Comment flow'!$C$40:$C$46,MATCH(I744,'Comment flow'!$A$40:$A$46,0)),""))</f>
        <v/>
      </c>
      <c r="N744" s="46" t="str">
        <f aca="false">IF(B744="","",IF(OR(I744="",I744="Open: needs a decision",L744=""),"Open","Closed"))</f>
        <v/>
      </c>
      <c r="O744" s="46"/>
      <c r="P744" s="46" t="str">
        <f aca="false">IF(OR(B744="",I744&lt;&gt;"Save for a later revision"),"",IF(COUNTIF('Deferred edits'!$K$2:$K$201,A744)&gt;0,"Yes","● Add to Deferred edits"))</f>
        <v/>
      </c>
    </row>
    <row r="745" customFormat="false" ht="15" hidden="false" customHeight="false" outlineLevel="0" collapsed="false">
      <c r="A745" s="46" t="s">
        <v>1040</v>
      </c>
      <c r="B745" s="46"/>
      <c r="C745" s="46"/>
      <c r="D745" s="46"/>
      <c r="E745" s="46"/>
      <c r="F745" s="46"/>
      <c r="G745" s="46"/>
      <c r="H745" s="46"/>
      <c r="I745" s="46"/>
      <c r="J745" s="46"/>
      <c r="K745" s="46"/>
      <c r="L745" s="46"/>
      <c r="M745" s="46" t="str">
        <f aca="false">IF(OR(B745="",I745=""),"",IFERROR(INDEX('Comment flow'!$C$40:$C$46,MATCH(I745,'Comment flow'!$A$40:$A$46,0)),""))</f>
        <v/>
      </c>
      <c r="N745" s="46" t="str">
        <f aca="false">IF(B745="","",IF(OR(I745="",I745="Open: needs a decision",L745=""),"Open","Closed"))</f>
        <v/>
      </c>
      <c r="O745" s="46"/>
      <c r="P745" s="46" t="str">
        <f aca="false">IF(OR(B745="",I745&lt;&gt;"Save for a later revision"),"",IF(COUNTIF('Deferred edits'!$K$2:$K$201,A745)&gt;0,"Yes","● Add to Deferred edits"))</f>
        <v/>
      </c>
    </row>
    <row r="746" customFormat="false" ht="15" hidden="false" customHeight="false" outlineLevel="0" collapsed="false">
      <c r="A746" s="46" t="s">
        <v>1041</v>
      </c>
      <c r="B746" s="46"/>
      <c r="C746" s="46"/>
      <c r="D746" s="46"/>
      <c r="E746" s="46"/>
      <c r="F746" s="46"/>
      <c r="G746" s="46"/>
      <c r="H746" s="46"/>
      <c r="I746" s="46"/>
      <c r="J746" s="46"/>
      <c r="K746" s="46"/>
      <c r="L746" s="46"/>
      <c r="M746" s="46" t="str">
        <f aca="false">IF(OR(B746="",I746=""),"",IFERROR(INDEX('Comment flow'!$C$40:$C$46,MATCH(I746,'Comment flow'!$A$40:$A$46,0)),""))</f>
        <v/>
      </c>
      <c r="N746" s="46" t="str">
        <f aca="false">IF(B746="","",IF(OR(I746="",I746="Open: needs a decision",L746=""),"Open","Closed"))</f>
        <v/>
      </c>
      <c r="O746" s="46"/>
      <c r="P746" s="46" t="str">
        <f aca="false">IF(OR(B746="",I746&lt;&gt;"Save for a later revision"),"",IF(COUNTIF('Deferred edits'!$K$2:$K$201,A746)&gt;0,"Yes","● Add to Deferred edits"))</f>
        <v/>
      </c>
    </row>
    <row r="747" customFormat="false" ht="15" hidden="false" customHeight="false" outlineLevel="0" collapsed="false">
      <c r="A747" s="46" t="s">
        <v>1042</v>
      </c>
      <c r="B747" s="46"/>
      <c r="C747" s="46"/>
      <c r="D747" s="46"/>
      <c r="E747" s="46"/>
      <c r="F747" s="46"/>
      <c r="G747" s="46"/>
      <c r="H747" s="46"/>
      <c r="I747" s="46"/>
      <c r="J747" s="46"/>
      <c r="K747" s="46"/>
      <c r="L747" s="46"/>
      <c r="M747" s="46" t="str">
        <f aca="false">IF(OR(B747="",I747=""),"",IFERROR(INDEX('Comment flow'!$C$40:$C$46,MATCH(I747,'Comment flow'!$A$40:$A$46,0)),""))</f>
        <v/>
      </c>
      <c r="N747" s="46" t="str">
        <f aca="false">IF(B747="","",IF(OR(I747="",I747="Open: needs a decision",L747=""),"Open","Closed"))</f>
        <v/>
      </c>
      <c r="O747" s="46"/>
      <c r="P747" s="46" t="str">
        <f aca="false">IF(OR(B747="",I747&lt;&gt;"Save for a later revision"),"",IF(COUNTIF('Deferred edits'!$K$2:$K$201,A747)&gt;0,"Yes","● Add to Deferred edits"))</f>
        <v/>
      </c>
    </row>
    <row r="748" customFormat="false" ht="15" hidden="false" customHeight="false" outlineLevel="0" collapsed="false">
      <c r="A748" s="46" t="s">
        <v>1043</v>
      </c>
      <c r="B748" s="46"/>
      <c r="C748" s="46"/>
      <c r="D748" s="46"/>
      <c r="E748" s="46"/>
      <c r="F748" s="46"/>
      <c r="G748" s="46"/>
      <c r="H748" s="46"/>
      <c r="I748" s="46"/>
      <c r="J748" s="46"/>
      <c r="K748" s="46"/>
      <c r="L748" s="46"/>
      <c r="M748" s="46" t="str">
        <f aca="false">IF(OR(B748="",I748=""),"",IFERROR(INDEX('Comment flow'!$C$40:$C$46,MATCH(I748,'Comment flow'!$A$40:$A$46,0)),""))</f>
        <v/>
      </c>
      <c r="N748" s="46" t="str">
        <f aca="false">IF(B748="","",IF(OR(I748="",I748="Open: needs a decision",L748=""),"Open","Closed"))</f>
        <v/>
      </c>
      <c r="O748" s="46"/>
      <c r="P748" s="46" t="str">
        <f aca="false">IF(OR(B748="",I748&lt;&gt;"Save for a later revision"),"",IF(COUNTIF('Deferred edits'!$K$2:$K$201,A748)&gt;0,"Yes","● Add to Deferred edits"))</f>
        <v/>
      </c>
    </row>
    <row r="749" customFormat="false" ht="15" hidden="false" customHeight="false" outlineLevel="0" collapsed="false">
      <c r="A749" s="46" t="s">
        <v>1044</v>
      </c>
      <c r="B749" s="46"/>
      <c r="C749" s="46"/>
      <c r="D749" s="46"/>
      <c r="E749" s="46"/>
      <c r="F749" s="46"/>
      <c r="G749" s="46"/>
      <c r="H749" s="46"/>
      <c r="I749" s="46"/>
      <c r="J749" s="46"/>
      <c r="K749" s="46"/>
      <c r="L749" s="46"/>
      <c r="M749" s="46" t="str">
        <f aca="false">IF(OR(B749="",I749=""),"",IFERROR(INDEX('Comment flow'!$C$40:$C$46,MATCH(I749,'Comment flow'!$A$40:$A$46,0)),""))</f>
        <v/>
      </c>
      <c r="N749" s="46" t="str">
        <f aca="false">IF(B749="","",IF(OR(I749="",I749="Open: needs a decision",L749=""),"Open","Closed"))</f>
        <v/>
      </c>
      <c r="O749" s="46"/>
      <c r="P749" s="46" t="str">
        <f aca="false">IF(OR(B749="",I749&lt;&gt;"Save for a later revision"),"",IF(COUNTIF('Deferred edits'!$K$2:$K$201,A749)&gt;0,"Yes","● Add to Deferred edits"))</f>
        <v/>
      </c>
    </row>
    <row r="750" customFormat="false" ht="15" hidden="false" customHeight="false" outlineLevel="0" collapsed="false">
      <c r="A750" s="46" t="s">
        <v>1045</v>
      </c>
      <c r="B750" s="46"/>
      <c r="C750" s="46"/>
      <c r="D750" s="46"/>
      <c r="E750" s="46"/>
      <c r="F750" s="46"/>
      <c r="G750" s="46"/>
      <c r="H750" s="46"/>
      <c r="I750" s="46"/>
      <c r="J750" s="46"/>
      <c r="K750" s="46"/>
      <c r="L750" s="46"/>
      <c r="M750" s="46" t="str">
        <f aca="false">IF(OR(B750="",I750=""),"",IFERROR(INDEX('Comment flow'!$C$40:$C$46,MATCH(I750,'Comment flow'!$A$40:$A$46,0)),""))</f>
        <v/>
      </c>
      <c r="N750" s="46" t="str">
        <f aca="false">IF(B750="","",IF(OR(I750="",I750="Open: needs a decision",L750=""),"Open","Closed"))</f>
        <v/>
      </c>
      <c r="O750" s="46"/>
      <c r="P750" s="46" t="str">
        <f aca="false">IF(OR(B750="",I750&lt;&gt;"Save for a later revision"),"",IF(COUNTIF('Deferred edits'!$K$2:$K$201,A750)&gt;0,"Yes","● Add to Deferred edits"))</f>
        <v/>
      </c>
    </row>
    <row r="751" customFormat="false" ht="15" hidden="false" customHeight="false" outlineLevel="0" collapsed="false">
      <c r="A751" s="46" t="s">
        <v>1046</v>
      </c>
      <c r="B751" s="46"/>
      <c r="C751" s="46"/>
      <c r="D751" s="46"/>
      <c r="E751" s="46"/>
      <c r="F751" s="46"/>
      <c r="G751" s="46"/>
      <c r="H751" s="46"/>
      <c r="I751" s="46"/>
      <c r="J751" s="46"/>
      <c r="K751" s="46"/>
      <c r="L751" s="46"/>
      <c r="M751" s="46" t="str">
        <f aca="false">IF(OR(B751="",I751=""),"",IFERROR(INDEX('Comment flow'!$C$40:$C$46,MATCH(I751,'Comment flow'!$A$40:$A$46,0)),""))</f>
        <v/>
      </c>
      <c r="N751" s="46" t="str">
        <f aca="false">IF(B751="","",IF(OR(I751="",I751="Open: needs a decision",L751=""),"Open","Closed"))</f>
        <v/>
      </c>
      <c r="O751" s="46"/>
      <c r="P751" s="46" t="str">
        <f aca="false">IF(OR(B751="",I751&lt;&gt;"Save for a later revision"),"",IF(COUNTIF('Deferred edits'!$K$2:$K$201,A751)&gt;0,"Yes","● Add to Deferred edits"))</f>
        <v/>
      </c>
    </row>
    <row r="752" customFormat="false" ht="15" hidden="false" customHeight="false" outlineLevel="0" collapsed="false">
      <c r="A752" s="46" t="s">
        <v>1047</v>
      </c>
      <c r="B752" s="46"/>
      <c r="C752" s="46"/>
      <c r="D752" s="46"/>
      <c r="E752" s="46"/>
      <c r="F752" s="46"/>
      <c r="G752" s="46"/>
      <c r="H752" s="46"/>
      <c r="I752" s="46"/>
      <c r="J752" s="46"/>
      <c r="K752" s="46"/>
      <c r="L752" s="46"/>
      <c r="M752" s="46" t="str">
        <f aca="false">IF(OR(B752="",I752=""),"",IFERROR(INDEX('Comment flow'!$C$40:$C$46,MATCH(I752,'Comment flow'!$A$40:$A$46,0)),""))</f>
        <v/>
      </c>
      <c r="N752" s="46" t="str">
        <f aca="false">IF(B752="","",IF(OR(I752="",I752="Open: needs a decision",L752=""),"Open","Closed"))</f>
        <v/>
      </c>
      <c r="O752" s="46"/>
      <c r="P752" s="46" t="str">
        <f aca="false">IF(OR(B752="",I752&lt;&gt;"Save for a later revision"),"",IF(COUNTIF('Deferred edits'!$K$2:$K$201,A752)&gt;0,"Yes","● Add to Deferred edits"))</f>
        <v/>
      </c>
    </row>
    <row r="753" customFormat="false" ht="15" hidden="false" customHeight="false" outlineLevel="0" collapsed="false">
      <c r="A753" s="46" t="s">
        <v>1048</v>
      </c>
      <c r="B753" s="46"/>
      <c r="C753" s="46"/>
      <c r="D753" s="46"/>
      <c r="E753" s="46"/>
      <c r="F753" s="46"/>
      <c r="G753" s="46"/>
      <c r="H753" s="46"/>
      <c r="I753" s="46"/>
      <c r="J753" s="46"/>
      <c r="K753" s="46"/>
      <c r="L753" s="46"/>
      <c r="M753" s="46" t="str">
        <f aca="false">IF(OR(B753="",I753=""),"",IFERROR(INDEX('Comment flow'!$C$40:$C$46,MATCH(I753,'Comment flow'!$A$40:$A$46,0)),""))</f>
        <v/>
      </c>
      <c r="N753" s="46" t="str">
        <f aca="false">IF(B753="","",IF(OR(I753="",I753="Open: needs a decision",L753=""),"Open","Closed"))</f>
        <v/>
      </c>
      <c r="O753" s="46"/>
      <c r="P753" s="46" t="str">
        <f aca="false">IF(OR(B753="",I753&lt;&gt;"Save for a later revision"),"",IF(COUNTIF('Deferred edits'!$K$2:$K$201,A753)&gt;0,"Yes","● Add to Deferred edits"))</f>
        <v/>
      </c>
    </row>
    <row r="754" customFormat="false" ht="15" hidden="false" customHeight="false" outlineLevel="0" collapsed="false">
      <c r="A754" s="46" t="s">
        <v>1049</v>
      </c>
      <c r="B754" s="46"/>
      <c r="C754" s="46"/>
      <c r="D754" s="46"/>
      <c r="E754" s="46"/>
      <c r="F754" s="46"/>
      <c r="G754" s="46"/>
      <c r="H754" s="46"/>
      <c r="I754" s="46"/>
      <c r="J754" s="46"/>
      <c r="K754" s="46"/>
      <c r="L754" s="46"/>
      <c r="M754" s="46" t="str">
        <f aca="false">IF(OR(B754="",I754=""),"",IFERROR(INDEX('Comment flow'!$C$40:$C$46,MATCH(I754,'Comment flow'!$A$40:$A$46,0)),""))</f>
        <v/>
      </c>
      <c r="N754" s="46" t="str">
        <f aca="false">IF(B754="","",IF(OR(I754="",I754="Open: needs a decision",L754=""),"Open","Closed"))</f>
        <v/>
      </c>
      <c r="O754" s="46"/>
      <c r="P754" s="46" t="str">
        <f aca="false">IF(OR(B754="",I754&lt;&gt;"Save for a later revision"),"",IF(COUNTIF('Deferred edits'!$K$2:$K$201,A754)&gt;0,"Yes","● Add to Deferred edits"))</f>
        <v/>
      </c>
    </row>
    <row r="755" customFormat="false" ht="15" hidden="false" customHeight="false" outlineLevel="0" collapsed="false">
      <c r="A755" s="46" t="s">
        <v>1050</v>
      </c>
      <c r="B755" s="46"/>
      <c r="C755" s="46"/>
      <c r="D755" s="46"/>
      <c r="E755" s="46"/>
      <c r="F755" s="46"/>
      <c r="G755" s="46"/>
      <c r="H755" s="46"/>
      <c r="I755" s="46"/>
      <c r="J755" s="46"/>
      <c r="K755" s="46"/>
      <c r="L755" s="46"/>
      <c r="M755" s="46" t="str">
        <f aca="false">IF(OR(B755="",I755=""),"",IFERROR(INDEX('Comment flow'!$C$40:$C$46,MATCH(I755,'Comment flow'!$A$40:$A$46,0)),""))</f>
        <v/>
      </c>
      <c r="N755" s="46" t="str">
        <f aca="false">IF(B755="","",IF(OR(I755="",I755="Open: needs a decision",L755=""),"Open","Closed"))</f>
        <v/>
      </c>
      <c r="O755" s="46"/>
      <c r="P755" s="46" t="str">
        <f aca="false">IF(OR(B755="",I755&lt;&gt;"Save for a later revision"),"",IF(COUNTIF('Deferred edits'!$K$2:$K$201,A755)&gt;0,"Yes","● Add to Deferred edits"))</f>
        <v/>
      </c>
    </row>
    <row r="756" customFormat="false" ht="15" hidden="false" customHeight="false" outlineLevel="0" collapsed="false">
      <c r="A756" s="46" t="s">
        <v>1051</v>
      </c>
      <c r="B756" s="46"/>
      <c r="C756" s="46"/>
      <c r="D756" s="46"/>
      <c r="E756" s="46"/>
      <c r="F756" s="46"/>
      <c r="G756" s="46"/>
      <c r="H756" s="46"/>
      <c r="I756" s="46"/>
      <c r="J756" s="46"/>
      <c r="K756" s="46"/>
      <c r="L756" s="46"/>
      <c r="M756" s="46" t="str">
        <f aca="false">IF(OR(B756="",I756=""),"",IFERROR(INDEX('Comment flow'!$C$40:$C$46,MATCH(I756,'Comment flow'!$A$40:$A$46,0)),""))</f>
        <v/>
      </c>
      <c r="N756" s="46" t="str">
        <f aca="false">IF(B756="","",IF(OR(I756="",I756="Open: needs a decision",L756=""),"Open","Closed"))</f>
        <v/>
      </c>
      <c r="O756" s="46"/>
      <c r="P756" s="46" t="str">
        <f aca="false">IF(OR(B756="",I756&lt;&gt;"Save for a later revision"),"",IF(COUNTIF('Deferred edits'!$K$2:$K$201,A756)&gt;0,"Yes","● Add to Deferred edits"))</f>
        <v/>
      </c>
    </row>
    <row r="757" customFormat="false" ht="15" hidden="false" customHeight="false" outlineLevel="0" collapsed="false">
      <c r="A757" s="46" t="s">
        <v>1052</v>
      </c>
      <c r="B757" s="46"/>
      <c r="C757" s="46"/>
      <c r="D757" s="46"/>
      <c r="E757" s="46"/>
      <c r="F757" s="46"/>
      <c r="G757" s="46"/>
      <c r="H757" s="46"/>
      <c r="I757" s="46"/>
      <c r="J757" s="46"/>
      <c r="K757" s="46"/>
      <c r="L757" s="46"/>
      <c r="M757" s="46" t="str">
        <f aca="false">IF(OR(B757="",I757=""),"",IFERROR(INDEX('Comment flow'!$C$40:$C$46,MATCH(I757,'Comment flow'!$A$40:$A$46,0)),""))</f>
        <v/>
      </c>
      <c r="N757" s="46" t="str">
        <f aca="false">IF(B757="","",IF(OR(I757="",I757="Open: needs a decision",L757=""),"Open","Closed"))</f>
        <v/>
      </c>
      <c r="O757" s="46"/>
      <c r="P757" s="46" t="str">
        <f aca="false">IF(OR(B757="",I757&lt;&gt;"Save for a later revision"),"",IF(COUNTIF('Deferred edits'!$K$2:$K$201,A757)&gt;0,"Yes","● Add to Deferred edits"))</f>
        <v/>
      </c>
    </row>
    <row r="758" customFormat="false" ht="15" hidden="false" customHeight="false" outlineLevel="0" collapsed="false">
      <c r="A758" s="46" t="s">
        <v>1053</v>
      </c>
      <c r="B758" s="46"/>
      <c r="C758" s="46"/>
      <c r="D758" s="46"/>
      <c r="E758" s="46"/>
      <c r="F758" s="46"/>
      <c r="G758" s="46"/>
      <c r="H758" s="46"/>
      <c r="I758" s="46"/>
      <c r="J758" s="46"/>
      <c r="K758" s="46"/>
      <c r="L758" s="46"/>
      <c r="M758" s="46" t="str">
        <f aca="false">IF(OR(B758="",I758=""),"",IFERROR(INDEX('Comment flow'!$C$40:$C$46,MATCH(I758,'Comment flow'!$A$40:$A$46,0)),""))</f>
        <v/>
      </c>
      <c r="N758" s="46" t="str">
        <f aca="false">IF(B758="","",IF(OR(I758="",I758="Open: needs a decision",L758=""),"Open","Closed"))</f>
        <v/>
      </c>
      <c r="O758" s="46"/>
      <c r="P758" s="46" t="str">
        <f aca="false">IF(OR(B758="",I758&lt;&gt;"Save for a later revision"),"",IF(COUNTIF('Deferred edits'!$K$2:$K$201,A758)&gt;0,"Yes","● Add to Deferred edits"))</f>
        <v/>
      </c>
    </row>
    <row r="759" customFormat="false" ht="15" hidden="false" customHeight="false" outlineLevel="0" collapsed="false">
      <c r="A759" s="46" t="s">
        <v>1054</v>
      </c>
      <c r="B759" s="46"/>
      <c r="C759" s="46"/>
      <c r="D759" s="46"/>
      <c r="E759" s="46"/>
      <c r="F759" s="46"/>
      <c r="G759" s="46"/>
      <c r="H759" s="46"/>
      <c r="I759" s="46"/>
      <c r="J759" s="46"/>
      <c r="K759" s="46"/>
      <c r="L759" s="46"/>
      <c r="M759" s="46" t="str">
        <f aca="false">IF(OR(B759="",I759=""),"",IFERROR(INDEX('Comment flow'!$C$40:$C$46,MATCH(I759,'Comment flow'!$A$40:$A$46,0)),""))</f>
        <v/>
      </c>
      <c r="N759" s="46" t="str">
        <f aca="false">IF(B759="","",IF(OR(I759="",I759="Open: needs a decision",L759=""),"Open","Closed"))</f>
        <v/>
      </c>
      <c r="O759" s="46"/>
      <c r="P759" s="46" t="str">
        <f aca="false">IF(OR(B759="",I759&lt;&gt;"Save for a later revision"),"",IF(COUNTIF('Deferred edits'!$K$2:$K$201,A759)&gt;0,"Yes","● Add to Deferred edits"))</f>
        <v/>
      </c>
    </row>
    <row r="760" customFormat="false" ht="15" hidden="false" customHeight="false" outlineLevel="0" collapsed="false">
      <c r="A760" s="46" t="s">
        <v>1055</v>
      </c>
      <c r="B760" s="46"/>
      <c r="C760" s="46"/>
      <c r="D760" s="46"/>
      <c r="E760" s="46"/>
      <c r="F760" s="46"/>
      <c r="G760" s="46"/>
      <c r="H760" s="46"/>
      <c r="I760" s="46"/>
      <c r="J760" s="46"/>
      <c r="K760" s="46"/>
      <c r="L760" s="46"/>
      <c r="M760" s="46" t="str">
        <f aca="false">IF(OR(B760="",I760=""),"",IFERROR(INDEX('Comment flow'!$C$40:$C$46,MATCH(I760,'Comment flow'!$A$40:$A$46,0)),""))</f>
        <v/>
      </c>
      <c r="N760" s="46" t="str">
        <f aca="false">IF(B760="","",IF(OR(I760="",I760="Open: needs a decision",L760=""),"Open","Closed"))</f>
        <v/>
      </c>
      <c r="O760" s="46"/>
      <c r="P760" s="46" t="str">
        <f aca="false">IF(OR(B760="",I760&lt;&gt;"Save for a later revision"),"",IF(COUNTIF('Deferred edits'!$K$2:$K$201,A760)&gt;0,"Yes","● Add to Deferred edits"))</f>
        <v/>
      </c>
    </row>
    <row r="761" customFormat="false" ht="15" hidden="false" customHeight="false" outlineLevel="0" collapsed="false">
      <c r="A761" s="46" t="s">
        <v>1056</v>
      </c>
      <c r="B761" s="46"/>
      <c r="C761" s="46"/>
      <c r="D761" s="46"/>
      <c r="E761" s="46"/>
      <c r="F761" s="46"/>
      <c r="G761" s="46"/>
      <c r="H761" s="46"/>
      <c r="I761" s="46"/>
      <c r="J761" s="46"/>
      <c r="K761" s="46"/>
      <c r="L761" s="46"/>
      <c r="M761" s="46" t="str">
        <f aca="false">IF(OR(B761="",I761=""),"",IFERROR(INDEX('Comment flow'!$C$40:$C$46,MATCH(I761,'Comment flow'!$A$40:$A$46,0)),""))</f>
        <v/>
      </c>
      <c r="N761" s="46" t="str">
        <f aca="false">IF(B761="","",IF(OR(I761="",I761="Open: needs a decision",L761=""),"Open","Closed"))</f>
        <v/>
      </c>
      <c r="O761" s="46"/>
      <c r="P761" s="46" t="str">
        <f aca="false">IF(OR(B761="",I761&lt;&gt;"Save for a later revision"),"",IF(COUNTIF('Deferred edits'!$K$2:$K$201,A761)&gt;0,"Yes","● Add to Deferred edits"))</f>
        <v/>
      </c>
    </row>
    <row r="762" customFormat="false" ht="15" hidden="false" customHeight="false" outlineLevel="0" collapsed="false">
      <c r="A762" s="46" t="s">
        <v>1057</v>
      </c>
      <c r="B762" s="46"/>
      <c r="C762" s="46"/>
      <c r="D762" s="46"/>
      <c r="E762" s="46"/>
      <c r="F762" s="46"/>
      <c r="G762" s="46"/>
      <c r="H762" s="46"/>
      <c r="I762" s="46"/>
      <c r="J762" s="46"/>
      <c r="K762" s="46"/>
      <c r="L762" s="46"/>
      <c r="M762" s="46" t="str">
        <f aca="false">IF(OR(B762="",I762=""),"",IFERROR(INDEX('Comment flow'!$C$40:$C$46,MATCH(I762,'Comment flow'!$A$40:$A$46,0)),""))</f>
        <v/>
      </c>
      <c r="N762" s="46" t="str">
        <f aca="false">IF(B762="","",IF(OR(I762="",I762="Open: needs a decision",L762=""),"Open","Closed"))</f>
        <v/>
      </c>
      <c r="O762" s="46"/>
      <c r="P762" s="46" t="str">
        <f aca="false">IF(OR(B762="",I762&lt;&gt;"Save for a later revision"),"",IF(COUNTIF('Deferred edits'!$K$2:$K$201,A762)&gt;0,"Yes","● Add to Deferred edits"))</f>
        <v/>
      </c>
    </row>
    <row r="763" customFormat="false" ht="15" hidden="false" customHeight="false" outlineLevel="0" collapsed="false">
      <c r="A763" s="46" t="s">
        <v>1058</v>
      </c>
      <c r="B763" s="46"/>
      <c r="C763" s="46"/>
      <c r="D763" s="46"/>
      <c r="E763" s="46"/>
      <c r="F763" s="46"/>
      <c r="G763" s="46"/>
      <c r="H763" s="46"/>
      <c r="I763" s="46"/>
      <c r="J763" s="46"/>
      <c r="K763" s="46"/>
      <c r="L763" s="46"/>
      <c r="M763" s="46" t="str">
        <f aca="false">IF(OR(B763="",I763=""),"",IFERROR(INDEX('Comment flow'!$C$40:$C$46,MATCH(I763,'Comment flow'!$A$40:$A$46,0)),""))</f>
        <v/>
      </c>
      <c r="N763" s="46" t="str">
        <f aca="false">IF(B763="","",IF(OR(I763="",I763="Open: needs a decision",L763=""),"Open","Closed"))</f>
        <v/>
      </c>
      <c r="O763" s="46"/>
      <c r="P763" s="46" t="str">
        <f aca="false">IF(OR(B763="",I763&lt;&gt;"Save for a later revision"),"",IF(COUNTIF('Deferred edits'!$K$2:$K$201,A763)&gt;0,"Yes","● Add to Deferred edits"))</f>
        <v/>
      </c>
    </row>
    <row r="764" customFormat="false" ht="15" hidden="false" customHeight="false" outlineLevel="0" collapsed="false">
      <c r="A764" s="46" t="s">
        <v>1059</v>
      </c>
      <c r="B764" s="46"/>
      <c r="C764" s="46"/>
      <c r="D764" s="46"/>
      <c r="E764" s="46"/>
      <c r="F764" s="46"/>
      <c r="G764" s="46"/>
      <c r="H764" s="46"/>
      <c r="I764" s="46"/>
      <c r="J764" s="46"/>
      <c r="K764" s="46"/>
      <c r="L764" s="46"/>
      <c r="M764" s="46" t="str">
        <f aca="false">IF(OR(B764="",I764=""),"",IFERROR(INDEX('Comment flow'!$C$40:$C$46,MATCH(I764,'Comment flow'!$A$40:$A$46,0)),""))</f>
        <v/>
      </c>
      <c r="N764" s="46" t="str">
        <f aca="false">IF(B764="","",IF(OR(I764="",I764="Open: needs a decision",L764=""),"Open","Closed"))</f>
        <v/>
      </c>
      <c r="O764" s="46"/>
      <c r="P764" s="46" t="str">
        <f aca="false">IF(OR(B764="",I764&lt;&gt;"Save for a later revision"),"",IF(COUNTIF('Deferred edits'!$K$2:$K$201,A764)&gt;0,"Yes","● Add to Deferred edits"))</f>
        <v/>
      </c>
    </row>
    <row r="765" customFormat="false" ht="15" hidden="false" customHeight="false" outlineLevel="0" collapsed="false">
      <c r="A765" s="46" t="s">
        <v>1060</v>
      </c>
      <c r="B765" s="46"/>
      <c r="C765" s="46"/>
      <c r="D765" s="46"/>
      <c r="E765" s="46"/>
      <c r="F765" s="46"/>
      <c r="G765" s="46"/>
      <c r="H765" s="46"/>
      <c r="I765" s="46"/>
      <c r="J765" s="46"/>
      <c r="K765" s="46"/>
      <c r="L765" s="46"/>
      <c r="M765" s="46" t="str">
        <f aca="false">IF(OR(B765="",I765=""),"",IFERROR(INDEX('Comment flow'!$C$40:$C$46,MATCH(I765,'Comment flow'!$A$40:$A$46,0)),""))</f>
        <v/>
      </c>
      <c r="N765" s="46" t="str">
        <f aca="false">IF(B765="","",IF(OR(I765="",I765="Open: needs a decision",L765=""),"Open","Closed"))</f>
        <v/>
      </c>
      <c r="O765" s="46"/>
      <c r="P765" s="46" t="str">
        <f aca="false">IF(OR(B765="",I765&lt;&gt;"Save for a later revision"),"",IF(COUNTIF('Deferred edits'!$K$2:$K$201,A765)&gt;0,"Yes","● Add to Deferred edits"))</f>
        <v/>
      </c>
    </row>
    <row r="766" customFormat="false" ht="15" hidden="false" customHeight="false" outlineLevel="0" collapsed="false">
      <c r="A766" s="46" t="s">
        <v>1061</v>
      </c>
      <c r="B766" s="46"/>
      <c r="C766" s="46"/>
      <c r="D766" s="46"/>
      <c r="E766" s="46"/>
      <c r="F766" s="46"/>
      <c r="G766" s="46"/>
      <c r="H766" s="46"/>
      <c r="I766" s="46"/>
      <c r="J766" s="46"/>
      <c r="K766" s="46"/>
      <c r="L766" s="46"/>
      <c r="M766" s="46" t="str">
        <f aca="false">IF(OR(B766="",I766=""),"",IFERROR(INDEX('Comment flow'!$C$40:$C$46,MATCH(I766,'Comment flow'!$A$40:$A$46,0)),""))</f>
        <v/>
      </c>
      <c r="N766" s="46" t="str">
        <f aca="false">IF(B766="","",IF(OR(I766="",I766="Open: needs a decision",L766=""),"Open","Closed"))</f>
        <v/>
      </c>
      <c r="O766" s="46"/>
      <c r="P766" s="46" t="str">
        <f aca="false">IF(OR(B766="",I766&lt;&gt;"Save for a later revision"),"",IF(COUNTIF('Deferred edits'!$K$2:$K$201,A766)&gt;0,"Yes","● Add to Deferred edits"))</f>
        <v/>
      </c>
    </row>
    <row r="767" customFormat="false" ht="15" hidden="false" customHeight="false" outlineLevel="0" collapsed="false">
      <c r="A767" s="46" t="s">
        <v>1062</v>
      </c>
      <c r="B767" s="46"/>
      <c r="C767" s="46"/>
      <c r="D767" s="46"/>
      <c r="E767" s="46"/>
      <c r="F767" s="46"/>
      <c r="G767" s="46"/>
      <c r="H767" s="46"/>
      <c r="I767" s="46"/>
      <c r="J767" s="46"/>
      <c r="K767" s="46"/>
      <c r="L767" s="46"/>
      <c r="M767" s="46" t="str">
        <f aca="false">IF(OR(B767="",I767=""),"",IFERROR(INDEX('Comment flow'!$C$40:$C$46,MATCH(I767,'Comment flow'!$A$40:$A$46,0)),""))</f>
        <v/>
      </c>
      <c r="N767" s="46" t="str">
        <f aca="false">IF(B767="","",IF(OR(I767="",I767="Open: needs a decision",L767=""),"Open","Closed"))</f>
        <v/>
      </c>
      <c r="O767" s="46"/>
      <c r="P767" s="46" t="str">
        <f aca="false">IF(OR(B767="",I767&lt;&gt;"Save for a later revision"),"",IF(COUNTIF('Deferred edits'!$K$2:$K$201,A767)&gt;0,"Yes","● Add to Deferred edits"))</f>
        <v/>
      </c>
    </row>
    <row r="768" customFormat="false" ht="15" hidden="false" customHeight="false" outlineLevel="0" collapsed="false">
      <c r="A768" s="46" t="s">
        <v>1063</v>
      </c>
      <c r="B768" s="46"/>
      <c r="C768" s="46"/>
      <c r="D768" s="46"/>
      <c r="E768" s="46"/>
      <c r="F768" s="46"/>
      <c r="G768" s="46"/>
      <c r="H768" s="46"/>
      <c r="I768" s="46"/>
      <c r="J768" s="46"/>
      <c r="K768" s="46"/>
      <c r="L768" s="46"/>
      <c r="M768" s="46" t="str">
        <f aca="false">IF(OR(B768="",I768=""),"",IFERROR(INDEX('Comment flow'!$C$40:$C$46,MATCH(I768,'Comment flow'!$A$40:$A$46,0)),""))</f>
        <v/>
      </c>
      <c r="N768" s="46" t="str">
        <f aca="false">IF(B768="","",IF(OR(I768="",I768="Open: needs a decision",L768=""),"Open","Closed"))</f>
        <v/>
      </c>
      <c r="O768" s="46"/>
      <c r="P768" s="46" t="str">
        <f aca="false">IF(OR(B768="",I768&lt;&gt;"Save for a later revision"),"",IF(COUNTIF('Deferred edits'!$K$2:$K$201,A768)&gt;0,"Yes","● Add to Deferred edits"))</f>
        <v/>
      </c>
    </row>
    <row r="769" customFormat="false" ht="15" hidden="false" customHeight="false" outlineLevel="0" collapsed="false">
      <c r="A769" s="46" t="s">
        <v>1064</v>
      </c>
      <c r="B769" s="46"/>
      <c r="C769" s="46"/>
      <c r="D769" s="46"/>
      <c r="E769" s="46"/>
      <c r="F769" s="46"/>
      <c r="G769" s="46"/>
      <c r="H769" s="46"/>
      <c r="I769" s="46"/>
      <c r="J769" s="46"/>
      <c r="K769" s="46"/>
      <c r="L769" s="46"/>
      <c r="M769" s="46" t="str">
        <f aca="false">IF(OR(B769="",I769=""),"",IFERROR(INDEX('Comment flow'!$C$40:$C$46,MATCH(I769,'Comment flow'!$A$40:$A$46,0)),""))</f>
        <v/>
      </c>
      <c r="N769" s="46" t="str">
        <f aca="false">IF(B769="","",IF(OR(I769="",I769="Open: needs a decision",L769=""),"Open","Closed"))</f>
        <v/>
      </c>
      <c r="O769" s="46"/>
      <c r="P769" s="46" t="str">
        <f aca="false">IF(OR(B769="",I769&lt;&gt;"Save for a later revision"),"",IF(COUNTIF('Deferred edits'!$K$2:$K$201,A769)&gt;0,"Yes","● Add to Deferred edits"))</f>
        <v/>
      </c>
    </row>
    <row r="770" customFormat="false" ht="15" hidden="false" customHeight="false" outlineLevel="0" collapsed="false">
      <c r="A770" s="46" t="s">
        <v>1065</v>
      </c>
      <c r="B770" s="46"/>
      <c r="C770" s="46"/>
      <c r="D770" s="46"/>
      <c r="E770" s="46"/>
      <c r="F770" s="46"/>
      <c r="G770" s="46"/>
      <c r="H770" s="46"/>
      <c r="I770" s="46"/>
      <c r="J770" s="46"/>
      <c r="K770" s="46"/>
      <c r="L770" s="46"/>
      <c r="M770" s="46" t="str">
        <f aca="false">IF(OR(B770="",I770=""),"",IFERROR(INDEX('Comment flow'!$C$40:$C$46,MATCH(I770,'Comment flow'!$A$40:$A$46,0)),""))</f>
        <v/>
      </c>
      <c r="N770" s="46" t="str">
        <f aca="false">IF(B770="","",IF(OR(I770="",I770="Open: needs a decision",L770=""),"Open","Closed"))</f>
        <v/>
      </c>
      <c r="O770" s="46"/>
      <c r="P770" s="46" t="str">
        <f aca="false">IF(OR(B770="",I770&lt;&gt;"Save for a later revision"),"",IF(COUNTIF('Deferred edits'!$K$2:$K$201,A770)&gt;0,"Yes","● Add to Deferred edits"))</f>
        <v/>
      </c>
    </row>
    <row r="771" customFormat="false" ht="15" hidden="false" customHeight="false" outlineLevel="0" collapsed="false">
      <c r="A771" s="46" t="s">
        <v>1066</v>
      </c>
      <c r="B771" s="46"/>
      <c r="C771" s="46"/>
      <c r="D771" s="46"/>
      <c r="E771" s="46"/>
      <c r="F771" s="46"/>
      <c r="G771" s="46"/>
      <c r="H771" s="46"/>
      <c r="I771" s="46"/>
      <c r="J771" s="46"/>
      <c r="K771" s="46"/>
      <c r="L771" s="46"/>
      <c r="M771" s="46" t="str">
        <f aca="false">IF(OR(B771="",I771=""),"",IFERROR(INDEX('Comment flow'!$C$40:$C$46,MATCH(I771,'Comment flow'!$A$40:$A$46,0)),""))</f>
        <v/>
      </c>
      <c r="N771" s="46" t="str">
        <f aca="false">IF(B771="","",IF(OR(I771="",I771="Open: needs a decision",L771=""),"Open","Closed"))</f>
        <v/>
      </c>
      <c r="O771" s="46"/>
      <c r="P771" s="46" t="str">
        <f aca="false">IF(OR(B771="",I771&lt;&gt;"Save for a later revision"),"",IF(COUNTIF('Deferred edits'!$K$2:$K$201,A771)&gt;0,"Yes","● Add to Deferred edits"))</f>
        <v/>
      </c>
    </row>
    <row r="772" customFormat="false" ht="15" hidden="false" customHeight="false" outlineLevel="0" collapsed="false">
      <c r="A772" s="46" t="s">
        <v>1067</v>
      </c>
      <c r="B772" s="46"/>
      <c r="C772" s="46"/>
      <c r="D772" s="46"/>
      <c r="E772" s="46"/>
      <c r="F772" s="46"/>
      <c r="G772" s="46"/>
      <c r="H772" s="46"/>
      <c r="I772" s="46"/>
      <c r="J772" s="46"/>
      <c r="K772" s="46"/>
      <c r="L772" s="46"/>
      <c r="M772" s="46" t="str">
        <f aca="false">IF(OR(B772="",I772=""),"",IFERROR(INDEX('Comment flow'!$C$40:$C$46,MATCH(I772,'Comment flow'!$A$40:$A$46,0)),""))</f>
        <v/>
      </c>
      <c r="N772" s="46" t="str">
        <f aca="false">IF(B772="","",IF(OR(I772="",I772="Open: needs a decision",L772=""),"Open","Closed"))</f>
        <v/>
      </c>
      <c r="O772" s="46"/>
      <c r="P772" s="46" t="str">
        <f aca="false">IF(OR(B772="",I772&lt;&gt;"Save for a later revision"),"",IF(COUNTIF('Deferred edits'!$K$2:$K$201,A772)&gt;0,"Yes","● Add to Deferred edits"))</f>
        <v/>
      </c>
    </row>
    <row r="773" customFormat="false" ht="15" hidden="false" customHeight="false" outlineLevel="0" collapsed="false">
      <c r="A773" s="46" t="s">
        <v>1068</v>
      </c>
      <c r="B773" s="46"/>
      <c r="C773" s="46"/>
      <c r="D773" s="46"/>
      <c r="E773" s="46"/>
      <c r="F773" s="46"/>
      <c r="G773" s="46"/>
      <c r="H773" s="46"/>
      <c r="I773" s="46"/>
      <c r="J773" s="46"/>
      <c r="K773" s="46"/>
      <c r="L773" s="46"/>
      <c r="M773" s="46" t="str">
        <f aca="false">IF(OR(B773="",I773=""),"",IFERROR(INDEX('Comment flow'!$C$40:$C$46,MATCH(I773,'Comment flow'!$A$40:$A$46,0)),""))</f>
        <v/>
      </c>
      <c r="N773" s="46" t="str">
        <f aca="false">IF(B773="","",IF(OR(I773="",I773="Open: needs a decision",L773=""),"Open","Closed"))</f>
        <v/>
      </c>
      <c r="O773" s="46"/>
      <c r="P773" s="46" t="str">
        <f aca="false">IF(OR(B773="",I773&lt;&gt;"Save for a later revision"),"",IF(COUNTIF('Deferred edits'!$K$2:$K$201,A773)&gt;0,"Yes","● Add to Deferred edits"))</f>
        <v/>
      </c>
    </row>
    <row r="774" customFormat="false" ht="15" hidden="false" customHeight="false" outlineLevel="0" collapsed="false">
      <c r="A774" s="46" t="s">
        <v>1069</v>
      </c>
      <c r="B774" s="46"/>
      <c r="C774" s="46"/>
      <c r="D774" s="46"/>
      <c r="E774" s="46"/>
      <c r="F774" s="46"/>
      <c r="G774" s="46"/>
      <c r="H774" s="46"/>
      <c r="I774" s="46"/>
      <c r="J774" s="46"/>
      <c r="K774" s="46"/>
      <c r="L774" s="46"/>
      <c r="M774" s="46" t="str">
        <f aca="false">IF(OR(B774="",I774=""),"",IFERROR(INDEX('Comment flow'!$C$40:$C$46,MATCH(I774,'Comment flow'!$A$40:$A$46,0)),""))</f>
        <v/>
      </c>
      <c r="N774" s="46" t="str">
        <f aca="false">IF(B774="","",IF(OR(I774="",I774="Open: needs a decision",L774=""),"Open","Closed"))</f>
        <v/>
      </c>
      <c r="O774" s="46"/>
      <c r="P774" s="46" t="str">
        <f aca="false">IF(OR(B774="",I774&lt;&gt;"Save for a later revision"),"",IF(COUNTIF('Deferred edits'!$K$2:$K$201,A774)&gt;0,"Yes","● Add to Deferred edits"))</f>
        <v/>
      </c>
    </row>
    <row r="775" customFormat="false" ht="15" hidden="false" customHeight="false" outlineLevel="0" collapsed="false">
      <c r="A775" s="46" t="s">
        <v>1070</v>
      </c>
      <c r="B775" s="46"/>
      <c r="C775" s="46"/>
      <c r="D775" s="46"/>
      <c r="E775" s="46"/>
      <c r="F775" s="46"/>
      <c r="G775" s="46"/>
      <c r="H775" s="46"/>
      <c r="I775" s="46"/>
      <c r="J775" s="46"/>
      <c r="K775" s="46"/>
      <c r="L775" s="46"/>
      <c r="M775" s="46" t="str">
        <f aca="false">IF(OR(B775="",I775=""),"",IFERROR(INDEX('Comment flow'!$C$40:$C$46,MATCH(I775,'Comment flow'!$A$40:$A$46,0)),""))</f>
        <v/>
      </c>
      <c r="N775" s="46" t="str">
        <f aca="false">IF(B775="","",IF(OR(I775="",I775="Open: needs a decision",L775=""),"Open","Closed"))</f>
        <v/>
      </c>
      <c r="O775" s="46"/>
      <c r="P775" s="46" t="str">
        <f aca="false">IF(OR(B775="",I775&lt;&gt;"Save for a later revision"),"",IF(COUNTIF('Deferred edits'!$K$2:$K$201,A775)&gt;0,"Yes","● Add to Deferred edits"))</f>
        <v/>
      </c>
    </row>
    <row r="776" customFormat="false" ht="15" hidden="false" customHeight="false" outlineLevel="0" collapsed="false">
      <c r="A776" s="46" t="s">
        <v>1071</v>
      </c>
      <c r="B776" s="46"/>
      <c r="C776" s="46"/>
      <c r="D776" s="46"/>
      <c r="E776" s="46"/>
      <c r="F776" s="46"/>
      <c r="G776" s="46"/>
      <c r="H776" s="46"/>
      <c r="I776" s="46"/>
      <c r="J776" s="46"/>
      <c r="K776" s="46"/>
      <c r="L776" s="46"/>
      <c r="M776" s="46" t="str">
        <f aca="false">IF(OR(B776="",I776=""),"",IFERROR(INDEX('Comment flow'!$C$40:$C$46,MATCH(I776,'Comment flow'!$A$40:$A$46,0)),""))</f>
        <v/>
      </c>
      <c r="N776" s="46" t="str">
        <f aca="false">IF(B776="","",IF(OR(I776="",I776="Open: needs a decision",L776=""),"Open","Closed"))</f>
        <v/>
      </c>
      <c r="O776" s="46"/>
      <c r="P776" s="46" t="str">
        <f aca="false">IF(OR(B776="",I776&lt;&gt;"Save for a later revision"),"",IF(COUNTIF('Deferred edits'!$K$2:$K$201,A776)&gt;0,"Yes","● Add to Deferred edits"))</f>
        <v/>
      </c>
    </row>
    <row r="777" customFormat="false" ht="15" hidden="false" customHeight="false" outlineLevel="0" collapsed="false">
      <c r="A777" s="46" t="s">
        <v>1072</v>
      </c>
      <c r="B777" s="46"/>
      <c r="C777" s="46"/>
      <c r="D777" s="46"/>
      <c r="E777" s="46"/>
      <c r="F777" s="46"/>
      <c r="G777" s="46"/>
      <c r="H777" s="46"/>
      <c r="I777" s="46"/>
      <c r="J777" s="46"/>
      <c r="K777" s="46"/>
      <c r="L777" s="46"/>
      <c r="M777" s="46" t="str">
        <f aca="false">IF(OR(B777="",I777=""),"",IFERROR(INDEX('Comment flow'!$C$40:$C$46,MATCH(I777,'Comment flow'!$A$40:$A$46,0)),""))</f>
        <v/>
      </c>
      <c r="N777" s="46" t="str">
        <f aca="false">IF(B777="","",IF(OR(I777="",I777="Open: needs a decision",L777=""),"Open","Closed"))</f>
        <v/>
      </c>
      <c r="O777" s="46"/>
      <c r="P777" s="46" t="str">
        <f aca="false">IF(OR(B777="",I777&lt;&gt;"Save for a later revision"),"",IF(COUNTIF('Deferred edits'!$K$2:$K$201,A777)&gt;0,"Yes","● Add to Deferred edits"))</f>
        <v/>
      </c>
    </row>
    <row r="778" customFormat="false" ht="15" hidden="false" customHeight="false" outlineLevel="0" collapsed="false">
      <c r="A778" s="46" t="s">
        <v>1073</v>
      </c>
      <c r="B778" s="46"/>
      <c r="C778" s="46"/>
      <c r="D778" s="46"/>
      <c r="E778" s="46"/>
      <c r="F778" s="46"/>
      <c r="G778" s="46"/>
      <c r="H778" s="46"/>
      <c r="I778" s="46"/>
      <c r="J778" s="46"/>
      <c r="K778" s="46"/>
      <c r="L778" s="46"/>
      <c r="M778" s="46" t="str">
        <f aca="false">IF(OR(B778="",I778=""),"",IFERROR(INDEX('Comment flow'!$C$40:$C$46,MATCH(I778,'Comment flow'!$A$40:$A$46,0)),""))</f>
        <v/>
      </c>
      <c r="N778" s="46" t="str">
        <f aca="false">IF(B778="","",IF(OR(I778="",I778="Open: needs a decision",L778=""),"Open","Closed"))</f>
        <v/>
      </c>
      <c r="O778" s="46"/>
      <c r="P778" s="46" t="str">
        <f aca="false">IF(OR(B778="",I778&lt;&gt;"Save for a later revision"),"",IF(COUNTIF('Deferred edits'!$K$2:$K$201,A778)&gt;0,"Yes","● Add to Deferred edits"))</f>
        <v/>
      </c>
    </row>
    <row r="779" customFormat="false" ht="15" hidden="false" customHeight="false" outlineLevel="0" collapsed="false">
      <c r="A779" s="46" t="s">
        <v>1074</v>
      </c>
      <c r="B779" s="46"/>
      <c r="C779" s="46"/>
      <c r="D779" s="46"/>
      <c r="E779" s="46"/>
      <c r="F779" s="46"/>
      <c r="G779" s="46"/>
      <c r="H779" s="46"/>
      <c r="I779" s="46"/>
      <c r="J779" s="46"/>
      <c r="K779" s="46"/>
      <c r="L779" s="46"/>
      <c r="M779" s="46" t="str">
        <f aca="false">IF(OR(B779="",I779=""),"",IFERROR(INDEX('Comment flow'!$C$40:$C$46,MATCH(I779,'Comment flow'!$A$40:$A$46,0)),""))</f>
        <v/>
      </c>
      <c r="N779" s="46" t="str">
        <f aca="false">IF(B779="","",IF(OR(I779="",I779="Open: needs a decision",L779=""),"Open","Closed"))</f>
        <v/>
      </c>
      <c r="O779" s="46"/>
      <c r="P779" s="46" t="str">
        <f aca="false">IF(OR(B779="",I779&lt;&gt;"Save for a later revision"),"",IF(COUNTIF('Deferred edits'!$K$2:$K$201,A779)&gt;0,"Yes","● Add to Deferred edits"))</f>
        <v/>
      </c>
    </row>
    <row r="780" customFormat="false" ht="15" hidden="false" customHeight="false" outlineLevel="0" collapsed="false">
      <c r="A780" s="46" t="s">
        <v>1075</v>
      </c>
      <c r="B780" s="46"/>
      <c r="C780" s="46"/>
      <c r="D780" s="46"/>
      <c r="E780" s="46"/>
      <c r="F780" s="46"/>
      <c r="G780" s="46"/>
      <c r="H780" s="46"/>
      <c r="I780" s="46"/>
      <c r="J780" s="46"/>
      <c r="K780" s="46"/>
      <c r="L780" s="46"/>
      <c r="M780" s="46" t="str">
        <f aca="false">IF(OR(B780="",I780=""),"",IFERROR(INDEX('Comment flow'!$C$40:$C$46,MATCH(I780,'Comment flow'!$A$40:$A$46,0)),""))</f>
        <v/>
      </c>
      <c r="N780" s="46" t="str">
        <f aca="false">IF(B780="","",IF(OR(I780="",I780="Open: needs a decision",L780=""),"Open","Closed"))</f>
        <v/>
      </c>
      <c r="O780" s="46"/>
      <c r="P780" s="46" t="str">
        <f aca="false">IF(OR(B780="",I780&lt;&gt;"Save for a later revision"),"",IF(COUNTIF('Deferred edits'!$K$2:$K$201,A780)&gt;0,"Yes","● Add to Deferred edits"))</f>
        <v/>
      </c>
    </row>
    <row r="781" customFormat="false" ht="15" hidden="false" customHeight="false" outlineLevel="0" collapsed="false">
      <c r="A781" s="46" t="s">
        <v>1076</v>
      </c>
      <c r="B781" s="46"/>
      <c r="C781" s="46"/>
      <c r="D781" s="46"/>
      <c r="E781" s="46"/>
      <c r="F781" s="46"/>
      <c r="G781" s="46"/>
      <c r="H781" s="46"/>
      <c r="I781" s="46"/>
      <c r="J781" s="46"/>
      <c r="K781" s="46"/>
      <c r="L781" s="46"/>
      <c r="M781" s="46" t="str">
        <f aca="false">IF(OR(B781="",I781=""),"",IFERROR(INDEX('Comment flow'!$C$40:$C$46,MATCH(I781,'Comment flow'!$A$40:$A$46,0)),""))</f>
        <v/>
      </c>
      <c r="N781" s="46" t="str">
        <f aca="false">IF(B781="","",IF(OR(I781="",I781="Open: needs a decision",L781=""),"Open","Closed"))</f>
        <v/>
      </c>
      <c r="O781" s="46"/>
      <c r="P781" s="46" t="str">
        <f aca="false">IF(OR(B781="",I781&lt;&gt;"Save for a later revision"),"",IF(COUNTIF('Deferred edits'!$K$2:$K$201,A781)&gt;0,"Yes","● Add to Deferred edits"))</f>
        <v/>
      </c>
    </row>
    <row r="782" customFormat="false" ht="15" hidden="false" customHeight="false" outlineLevel="0" collapsed="false">
      <c r="A782" s="46" t="s">
        <v>1077</v>
      </c>
      <c r="B782" s="46"/>
      <c r="C782" s="46"/>
      <c r="D782" s="46"/>
      <c r="E782" s="46"/>
      <c r="F782" s="46"/>
      <c r="G782" s="46"/>
      <c r="H782" s="46"/>
      <c r="I782" s="46"/>
      <c r="J782" s="46"/>
      <c r="K782" s="46"/>
      <c r="L782" s="46"/>
      <c r="M782" s="46" t="str">
        <f aca="false">IF(OR(B782="",I782=""),"",IFERROR(INDEX('Comment flow'!$C$40:$C$46,MATCH(I782,'Comment flow'!$A$40:$A$46,0)),""))</f>
        <v/>
      </c>
      <c r="N782" s="46" t="str">
        <f aca="false">IF(B782="","",IF(OR(I782="",I782="Open: needs a decision",L782=""),"Open","Closed"))</f>
        <v/>
      </c>
      <c r="O782" s="46"/>
      <c r="P782" s="46" t="str">
        <f aca="false">IF(OR(B782="",I782&lt;&gt;"Save for a later revision"),"",IF(COUNTIF('Deferred edits'!$K$2:$K$201,A782)&gt;0,"Yes","● Add to Deferred edits"))</f>
        <v/>
      </c>
    </row>
    <row r="783" customFormat="false" ht="15" hidden="false" customHeight="false" outlineLevel="0" collapsed="false">
      <c r="A783" s="46" t="s">
        <v>1078</v>
      </c>
      <c r="B783" s="46"/>
      <c r="C783" s="46"/>
      <c r="D783" s="46"/>
      <c r="E783" s="46"/>
      <c r="F783" s="46"/>
      <c r="G783" s="46"/>
      <c r="H783" s="46"/>
      <c r="I783" s="46"/>
      <c r="J783" s="46"/>
      <c r="K783" s="46"/>
      <c r="L783" s="46"/>
      <c r="M783" s="46" t="str">
        <f aca="false">IF(OR(B783="",I783=""),"",IFERROR(INDEX('Comment flow'!$C$40:$C$46,MATCH(I783,'Comment flow'!$A$40:$A$46,0)),""))</f>
        <v/>
      </c>
      <c r="N783" s="46" t="str">
        <f aca="false">IF(B783="","",IF(OR(I783="",I783="Open: needs a decision",L783=""),"Open","Closed"))</f>
        <v/>
      </c>
      <c r="O783" s="46"/>
      <c r="P783" s="46" t="str">
        <f aca="false">IF(OR(B783="",I783&lt;&gt;"Save for a later revision"),"",IF(COUNTIF('Deferred edits'!$K$2:$K$201,A783)&gt;0,"Yes","● Add to Deferred edits"))</f>
        <v/>
      </c>
    </row>
    <row r="784" customFormat="false" ht="15" hidden="false" customHeight="false" outlineLevel="0" collapsed="false">
      <c r="A784" s="46" t="s">
        <v>1079</v>
      </c>
      <c r="B784" s="46"/>
      <c r="C784" s="46"/>
      <c r="D784" s="46"/>
      <c r="E784" s="46"/>
      <c r="F784" s="46"/>
      <c r="G784" s="46"/>
      <c r="H784" s="46"/>
      <c r="I784" s="46"/>
      <c r="J784" s="46"/>
      <c r="K784" s="46"/>
      <c r="L784" s="46"/>
      <c r="M784" s="46" t="str">
        <f aca="false">IF(OR(B784="",I784=""),"",IFERROR(INDEX('Comment flow'!$C$40:$C$46,MATCH(I784,'Comment flow'!$A$40:$A$46,0)),""))</f>
        <v/>
      </c>
      <c r="N784" s="46" t="str">
        <f aca="false">IF(B784="","",IF(OR(I784="",I784="Open: needs a decision",L784=""),"Open","Closed"))</f>
        <v/>
      </c>
      <c r="O784" s="46"/>
      <c r="P784" s="46" t="str">
        <f aca="false">IF(OR(B784="",I784&lt;&gt;"Save for a later revision"),"",IF(COUNTIF('Deferred edits'!$K$2:$K$201,A784)&gt;0,"Yes","● Add to Deferred edits"))</f>
        <v/>
      </c>
    </row>
    <row r="785" customFormat="false" ht="15" hidden="false" customHeight="false" outlineLevel="0" collapsed="false">
      <c r="A785" s="46" t="s">
        <v>1080</v>
      </c>
      <c r="B785" s="46"/>
      <c r="C785" s="46"/>
      <c r="D785" s="46"/>
      <c r="E785" s="46"/>
      <c r="F785" s="46"/>
      <c r="G785" s="46"/>
      <c r="H785" s="46"/>
      <c r="I785" s="46"/>
      <c r="J785" s="46"/>
      <c r="K785" s="46"/>
      <c r="L785" s="46"/>
      <c r="M785" s="46" t="str">
        <f aca="false">IF(OR(B785="",I785=""),"",IFERROR(INDEX('Comment flow'!$C$40:$C$46,MATCH(I785,'Comment flow'!$A$40:$A$46,0)),""))</f>
        <v/>
      </c>
      <c r="N785" s="46" t="str">
        <f aca="false">IF(B785="","",IF(OR(I785="",I785="Open: needs a decision",L785=""),"Open","Closed"))</f>
        <v/>
      </c>
      <c r="O785" s="46"/>
      <c r="P785" s="46" t="str">
        <f aca="false">IF(OR(B785="",I785&lt;&gt;"Save for a later revision"),"",IF(COUNTIF('Deferred edits'!$K$2:$K$201,A785)&gt;0,"Yes","● Add to Deferred edits"))</f>
        <v/>
      </c>
    </row>
    <row r="786" customFormat="false" ht="15" hidden="false" customHeight="false" outlineLevel="0" collapsed="false">
      <c r="A786" s="46" t="s">
        <v>1081</v>
      </c>
      <c r="B786" s="46"/>
      <c r="C786" s="46"/>
      <c r="D786" s="46"/>
      <c r="E786" s="46"/>
      <c r="F786" s="46"/>
      <c r="G786" s="46"/>
      <c r="H786" s="46"/>
      <c r="I786" s="46"/>
      <c r="J786" s="46"/>
      <c r="K786" s="46"/>
      <c r="L786" s="46"/>
      <c r="M786" s="46" t="str">
        <f aca="false">IF(OR(B786="",I786=""),"",IFERROR(INDEX('Comment flow'!$C$40:$C$46,MATCH(I786,'Comment flow'!$A$40:$A$46,0)),""))</f>
        <v/>
      </c>
      <c r="N786" s="46" t="str">
        <f aca="false">IF(B786="","",IF(OR(I786="",I786="Open: needs a decision",L786=""),"Open","Closed"))</f>
        <v/>
      </c>
      <c r="O786" s="46"/>
      <c r="P786" s="46" t="str">
        <f aca="false">IF(OR(B786="",I786&lt;&gt;"Save for a later revision"),"",IF(COUNTIF('Deferred edits'!$K$2:$K$201,A786)&gt;0,"Yes","● Add to Deferred edits"))</f>
        <v/>
      </c>
    </row>
    <row r="787" customFormat="false" ht="15" hidden="false" customHeight="false" outlineLevel="0" collapsed="false">
      <c r="A787" s="46" t="s">
        <v>1082</v>
      </c>
      <c r="B787" s="46"/>
      <c r="C787" s="46"/>
      <c r="D787" s="46"/>
      <c r="E787" s="46"/>
      <c r="F787" s="46"/>
      <c r="G787" s="46"/>
      <c r="H787" s="46"/>
      <c r="I787" s="46"/>
      <c r="J787" s="46"/>
      <c r="K787" s="46"/>
      <c r="L787" s="46"/>
      <c r="M787" s="46" t="str">
        <f aca="false">IF(OR(B787="",I787=""),"",IFERROR(INDEX('Comment flow'!$C$40:$C$46,MATCH(I787,'Comment flow'!$A$40:$A$46,0)),""))</f>
        <v/>
      </c>
      <c r="N787" s="46" t="str">
        <f aca="false">IF(B787="","",IF(OR(I787="",I787="Open: needs a decision",L787=""),"Open","Closed"))</f>
        <v/>
      </c>
      <c r="O787" s="46"/>
      <c r="P787" s="46" t="str">
        <f aca="false">IF(OR(B787="",I787&lt;&gt;"Save for a later revision"),"",IF(COUNTIF('Deferred edits'!$K$2:$K$201,A787)&gt;0,"Yes","● Add to Deferred edits"))</f>
        <v/>
      </c>
    </row>
    <row r="788" customFormat="false" ht="15" hidden="false" customHeight="false" outlineLevel="0" collapsed="false">
      <c r="A788" s="46" t="s">
        <v>1083</v>
      </c>
      <c r="B788" s="46"/>
      <c r="C788" s="46"/>
      <c r="D788" s="46"/>
      <c r="E788" s="46"/>
      <c r="F788" s="46"/>
      <c r="G788" s="46"/>
      <c r="H788" s="46"/>
      <c r="I788" s="46"/>
      <c r="J788" s="46"/>
      <c r="K788" s="46"/>
      <c r="L788" s="46"/>
      <c r="M788" s="46" t="str">
        <f aca="false">IF(OR(B788="",I788=""),"",IFERROR(INDEX('Comment flow'!$C$40:$C$46,MATCH(I788,'Comment flow'!$A$40:$A$46,0)),""))</f>
        <v/>
      </c>
      <c r="N788" s="46" t="str">
        <f aca="false">IF(B788="","",IF(OR(I788="",I788="Open: needs a decision",L788=""),"Open","Closed"))</f>
        <v/>
      </c>
      <c r="O788" s="46"/>
      <c r="P788" s="46" t="str">
        <f aca="false">IF(OR(B788="",I788&lt;&gt;"Save for a later revision"),"",IF(COUNTIF('Deferred edits'!$K$2:$K$201,A788)&gt;0,"Yes","● Add to Deferred edits"))</f>
        <v/>
      </c>
    </row>
    <row r="789" customFormat="false" ht="15" hidden="false" customHeight="false" outlineLevel="0" collapsed="false">
      <c r="A789" s="46" t="s">
        <v>1084</v>
      </c>
      <c r="B789" s="46"/>
      <c r="C789" s="46"/>
      <c r="D789" s="46"/>
      <c r="E789" s="46"/>
      <c r="F789" s="46"/>
      <c r="G789" s="46"/>
      <c r="H789" s="46"/>
      <c r="I789" s="46"/>
      <c r="J789" s="46"/>
      <c r="K789" s="46"/>
      <c r="L789" s="46"/>
      <c r="M789" s="46" t="str">
        <f aca="false">IF(OR(B789="",I789=""),"",IFERROR(INDEX('Comment flow'!$C$40:$C$46,MATCH(I789,'Comment flow'!$A$40:$A$46,0)),""))</f>
        <v/>
      </c>
      <c r="N789" s="46" t="str">
        <f aca="false">IF(B789="","",IF(OR(I789="",I789="Open: needs a decision",L789=""),"Open","Closed"))</f>
        <v/>
      </c>
      <c r="O789" s="46"/>
      <c r="P789" s="46" t="str">
        <f aca="false">IF(OR(B789="",I789&lt;&gt;"Save for a later revision"),"",IF(COUNTIF('Deferred edits'!$K$2:$K$201,A789)&gt;0,"Yes","● Add to Deferred edits"))</f>
        <v/>
      </c>
    </row>
    <row r="790" customFormat="false" ht="15" hidden="false" customHeight="false" outlineLevel="0" collapsed="false">
      <c r="A790" s="46" t="s">
        <v>1085</v>
      </c>
      <c r="B790" s="46"/>
      <c r="C790" s="46"/>
      <c r="D790" s="46"/>
      <c r="E790" s="46"/>
      <c r="F790" s="46"/>
      <c r="G790" s="46"/>
      <c r="H790" s="46"/>
      <c r="I790" s="46"/>
      <c r="J790" s="46"/>
      <c r="K790" s="46"/>
      <c r="L790" s="46"/>
      <c r="M790" s="46" t="str">
        <f aca="false">IF(OR(B790="",I790=""),"",IFERROR(INDEX('Comment flow'!$C$40:$C$46,MATCH(I790,'Comment flow'!$A$40:$A$46,0)),""))</f>
        <v/>
      </c>
      <c r="N790" s="46" t="str">
        <f aca="false">IF(B790="","",IF(OR(I790="",I790="Open: needs a decision",L790=""),"Open","Closed"))</f>
        <v/>
      </c>
      <c r="O790" s="46"/>
      <c r="P790" s="46" t="str">
        <f aca="false">IF(OR(B790="",I790&lt;&gt;"Save for a later revision"),"",IF(COUNTIF('Deferred edits'!$K$2:$K$201,A790)&gt;0,"Yes","● Add to Deferred edits"))</f>
        <v/>
      </c>
    </row>
    <row r="791" customFormat="false" ht="15" hidden="false" customHeight="false" outlineLevel="0" collapsed="false">
      <c r="A791" s="46" t="s">
        <v>1086</v>
      </c>
      <c r="B791" s="46"/>
      <c r="C791" s="46"/>
      <c r="D791" s="46"/>
      <c r="E791" s="46"/>
      <c r="F791" s="46"/>
      <c r="G791" s="46"/>
      <c r="H791" s="46"/>
      <c r="I791" s="46"/>
      <c r="J791" s="46"/>
      <c r="K791" s="46"/>
      <c r="L791" s="46"/>
      <c r="M791" s="46" t="str">
        <f aca="false">IF(OR(B791="",I791=""),"",IFERROR(INDEX('Comment flow'!$C$40:$C$46,MATCH(I791,'Comment flow'!$A$40:$A$46,0)),""))</f>
        <v/>
      </c>
      <c r="N791" s="46" t="str">
        <f aca="false">IF(B791="","",IF(OR(I791="",I791="Open: needs a decision",L791=""),"Open","Closed"))</f>
        <v/>
      </c>
      <c r="O791" s="46"/>
      <c r="P791" s="46" t="str">
        <f aca="false">IF(OR(B791="",I791&lt;&gt;"Save for a later revision"),"",IF(COUNTIF('Deferred edits'!$K$2:$K$201,A791)&gt;0,"Yes","● Add to Deferred edits"))</f>
        <v/>
      </c>
    </row>
    <row r="792" customFormat="false" ht="15" hidden="false" customHeight="false" outlineLevel="0" collapsed="false">
      <c r="A792" s="46" t="s">
        <v>1087</v>
      </c>
      <c r="B792" s="46"/>
      <c r="C792" s="46"/>
      <c r="D792" s="46"/>
      <c r="E792" s="46"/>
      <c r="F792" s="46"/>
      <c r="G792" s="46"/>
      <c r="H792" s="46"/>
      <c r="I792" s="46"/>
      <c r="J792" s="46"/>
      <c r="K792" s="46"/>
      <c r="L792" s="46"/>
      <c r="M792" s="46" t="str">
        <f aca="false">IF(OR(B792="",I792=""),"",IFERROR(INDEX('Comment flow'!$C$40:$C$46,MATCH(I792,'Comment flow'!$A$40:$A$46,0)),""))</f>
        <v/>
      </c>
      <c r="N792" s="46" t="str">
        <f aca="false">IF(B792="","",IF(OR(I792="",I792="Open: needs a decision",L792=""),"Open","Closed"))</f>
        <v/>
      </c>
      <c r="O792" s="46"/>
      <c r="P792" s="46" t="str">
        <f aca="false">IF(OR(B792="",I792&lt;&gt;"Save for a later revision"),"",IF(COUNTIF('Deferred edits'!$K$2:$K$201,A792)&gt;0,"Yes","● Add to Deferred edits"))</f>
        <v/>
      </c>
    </row>
    <row r="793" customFormat="false" ht="15" hidden="false" customHeight="false" outlineLevel="0" collapsed="false">
      <c r="A793" s="46" t="s">
        <v>1088</v>
      </c>
      <c r="B793" s="46"/>
      <c r="C793" s="46"/>
      <c r="D793" s="46"/>
      <c r="E793" s="46"/>
      <c r="F793" s="46"/>
      <c r="G793" s="46"/>
      <c r="H793" s="46"/>
      <c r="I793" s="46"/>
      <c r="J793" s="46"/>
      <c r="K793" s="46"/>
      <c r="L793" s="46"/>
      <c r="M793" s="46" t="str">
        <f aca="false">IF(OR(B793="",I793=""),"",IFERROR(INDEX('Comment flow'!$C$40:$C$46,MATCH(I793,'Comment flow'!$A$40:$A$46,0)),""))</f>
        <v/>
      </c>
      <c r="N793" s="46" t="str">
        <f aca="false">IF(B793="","",IF(OR(I793="",I793="Open: needs a decision",L793=""),"Open","Closed"))</f>
        <v/>
      </c>
      <c r="O793" s="46"/>
      <c r="P793" s="46" t="str">
        <f aca="false">IF(OR(B793="",I793&lt;&gt;"Save for a later revision"),"",IF(COUNTIF('Deferred edits'!$K$2:$K$201,A793)&gt;0,"Yes","● Add to Deferred edits"))</f>
        <v/>
      </c>
    </row>
    <row r="794" customFormat="false" ht="15" hidden="false" customHeight="false" outlineLevel="0" collapsed="false">
      <c r="A794" s="46" t="s">
        <v>1089</v>
      </c>
      <c r="B794" s="46"/>
      <c r="C794" s="46"/>
      <c r="D794" s="46"/>
      <c r="E794" s="46"/>
      <c r="F794" s="46"/>
      <c r="G794" s="46"/>
      <c r="H794" s="46"/>
      <c r="I794" s="46"/>
      <c r="J794" s="46"/>
      <c r="K794" s="46"/>
      <c r="L794" s="46"/>
      <c r="M794" s="46" t="str">
        <f aca="false">IF(OR(B794="",I794=""),"",IFERROR(INDEX('Comment flow'!$C$40:$C$46,MATCH(I794,'Comment flow'!$A$40:$A$46,0)),""))</f>
        <v/>
      </c>
      <c r="N794" s="46" t="str">
        <f aca="false">IF(B794="","",IF(OR(I794="",I794="Open: needs a decision",L794=""),"Open","Closed"))</f>
        <v/>
      </c>
      <c r="O794" s="46"/>
      <c r="P794" s="46" t="str">
        <f aca="false">IF(OR(B794="",I794&lt;&gt;"Save for a later revision"),"",IF(COUNTIF('Deferred edits'!$K$2:$K$201,A794)&gt;0,"Yes","● Add to Deferred edits"))</f>
        <v/>
      </c>
    </row>
    <row r="795" customFormat="false" ht="15" hidden="false" customHeight="false" outlineLevel="0" collapsed="false">
      <c r="A795" s="46" t="s">
        <v>1090</v>
      </c>
      <c r="B795" s="46"/>
      <c r="C795" s="46"/>
      <c r="D795" s="46"/>
      <c r="E795" s="46"/>
      <c r="F795" s="46"/>
      <c r="G795" s="46"/>
      <c r="H795" s="46"/>
      <c r="I795" s="46"/>
      <c r="J795" s="46"/>
      <c r="K795" s="46"/>
      <c r="L795" s="46"/>
      <c r="M795" s="46" t="str">
        <f aca="false">IF(OR(B795="",I795=""),"",IFERROR(INDEX('Comment flow'!$C$40:$C$46,MATCH(I795,'Comment flow'!$A$40:$A$46,0)),""))</f>
        <v/>
      </c>
      <c r="N795" s="46" t="str">
        <f aca="false">IF(B795="","",IF(OR(I795="",I795="Open: needs a decision",L795=""),"Open","Closed"))</f>
        <v/>
      </c>
      <c r="O795" s="46"/>
      <c r="P795" s="46" t="str">
        <f aca="false">IF(OR(B795="",I795&lt;&gt;"Save for a later revision"),"",IF(COUNTIF('Deferred edits'!$K$2:$K$201,A795)&gt;0,"Yes","● Add to Deferred edits"))</f>
        <v/>
      </c>
    </row>
    <row r="796" customFormat="false" ht="15" hidden="false" customHeight="false" outlineLevel="0" collapsed="false">
      <c r="A796" s="46" t="s">
        <v>1091</v>
      </c>
      <c r="B796" s="46"/>
      <c r="C796" s="46"/>
      <c r="D796" s="46"/>
      <c r="E796" s="46"/>
      <c r="F796" s="46"/>
      <c r="G796" s="46"/>
      <c r="H796" s="46"/>
      <c r="I796" s="46"/>
      <c r="J796" s="46"/>
      <c r="K796" s="46"/>
      <c r="L796" s="46"/>
      <c r="M796" s="46" t="str">
        <f aca="false">IF(OR(B796="",I796=""),"",IFERROR(INDEX('Comment flow'!$C$40:$C$46,MATCH(I796,'Comment flow'!$A$40:$A$46,0)),""))</f>
        <v/>
      </c>
      <c r="N796" s="46" t="str">
        <f aca="false">IF(B796="","",IF(OR(I796="",I796="Open: needs a decision",L796=""),"Open","Closed"))</f>
        <v/>
      </c>
      <c r="O796" s="46"/>
      <c r="P796" s="46" t="str">
        <f aca="false">IF(OR(B796="",I796&lt;&gt;"Save for a later revision"),"",IF(COUNTIF('Deferred edits'!$K$2:$K$201,A796)&gt;0,"Yes","● Add to Deferred edits"))</f>
        <v/>
      </c>
    </row>
    <row r="797" customFormat="false" ht="15" hidden="false" customHeight="false" outlineLevel="0" collapsed="false">
      <c r="A797" s="46" t="s">
        <v>1092</v>
      </c>
      <c r="B797" s="46"/>
      <c r="C797" s="46"/>
      <c r="D797" s="46"/>
      <c r="E797" s="46"/>
      <c r="F797" s="46"/>
      <c r="G797" s="46"/>
      <c r="H797" s="46"/>
      <c r="I797" s="46"/>
      <c r="J797" s="46"/>
      <c r="K797" s="46"/>
      <c r="L797" s="46"/>
      <c r="M797" s="46" t="str">
        <f aca="false">IF(OR(B797="",I797=""),"",IFERROR(INDEX('Comment flow'!$C$40:$C$46,MATCH(I797,'Comment flow'!$A$40:$A$46,0)),""))</f>
        <v/>
      </c>
      <c r="N797" s="46" t="str">
        <f aca="false">IF(B797="","",IF(OR(I797="",I797="Open: needs a decision",L797=""),"Open","Closed"))</f>
        <v/>
      </c>
      <c r="O797" s="46"/>
      <c r="P797" s="46" t="str">
        <f aca="false">IF(OR(B797="",I797&lt;&gt;"Save for a later revision"),"",IF(COUNTIF('Deferred edits'!$K$2:$K$201,A797)&gt;0,"Yes","● Add to Deferred edits"))</f>
        <v/>
      </c>
    </row>
    <row r="798" customFormat="false" ht="15" hidden="false" customHeight="false" outlineLevel="0" collapsed="false">
      <c r="A798" s="46" t="s">
        <v>1093</v>
      </c>
      <c r="B798" s="46"/>
      <c r="C798" s="46"/>
      <c r="D798" s="46"/>
      <c r="E798" s="46"/>
      <c r="F798" s="46"/>
      <c r="G798" s="46"/>
      <c r="H798" s="46"/>
      <c r="I798" s="46"/>
      <c r="J798" s="46"/>
      <c r="K798" s="46"/>
      <c r="L798" s="46"/>
      <c r="M798" s="46" t="str">
        <f aca="false">IF(OR(B798="",I798=""),"",IFERROR(INDEX('Comment flow'!$C$40:$C$46,MATCH(I798,'Comment flow'!$A$40:$A$46,0)),""))</f>
        <v/>
      </c>
      <c r="N798" s="46" t="str">
        <f aca="false">IF(B798="","",IF(OR(I798="",I798="Open: needs a decision",L798=""),"Open","Closed"))</f>
        <v/>
      </c>
      <c r="O798" s="46"/>
      <c r="P798" s="46" t="str">
        <f aca="false">IF(OR(B798="",I798&lt;&gt;"Save for a later revision"),"",IF(COUNTIF('Deferred edits'!$K$2:$K$201,A798)&gt;0,"Yes","● Add to Deferred edits"))</f>
        <v/>
      </c>
    </row>
    <row r="799" customFormat="false" ht="15" hidden="false" customHeight="false" outlineLevel="0" collapsed="false">
      <c r="A799" s="46" t="s">
        <v>1094</v>
      </c>
      <c r="B799" s="46"/>
      <c r="C799" s="46"/>
      <c r="D799" s="46"/>
      <c r="E799" s="46"/>
      <c r="F799" s="46"/>
      <c r="G799" s="46"/>
      <c r="H799" s="46"/>
      <c r="I799" s="46"/>
      <c r="J799" s="46"/>
      <c r="K799" s="46"/>
      <c r="L799" s="46"/>
      <c r="M799" s="46" t="str">
        <f aca="false">IF(OR(B799="",I799=""),"",IFERROR(INDEX('Comment flow'!$C$40:$C$46,MATCH(I799,'Comment flow'!$A$40:$A$46,0)),""))</f>
        <v/>
      </c>
      <c r="N799" s="46" t="str">
        <f aca="false">IF(B799="","",IF(OR(I799="",I799="Open: needs a decision",L799=""),"Open","Closed"))</f>
        <v/>
      </c>
      <c r="O799" s="46"/>
      <c r="P799" s="46" t="str">
        <f aca="false">IF(OR(B799="",I799&lt;&gt;"Save for a later revision"),"",IF(COUNTIF('Deferred edits'!$K$2:$K$201,A799)&gt;0,"Yes","● Add to Deferred edits"))</f>
        <v/>
      </c>
    </row>
    <row r="800" customFormat="false" ht="15" hidden="false" customHeight="false" outlineLevel="0" collapsed="false">
      <c r="A800" s="46" t="s">
        <v>1095</v>
      </c>
      <c r="B800" s="46"/>
      <c r="C800" s="46"/>
      <c r="D800" s="46"/>
      <c r="E800" s="46"/>
      <c r="F800" s="46"/>
      <c r="G800" s="46"/>
      <c r="H800" s="46"/>
      <c r="I800" s="46"/>
      <c r="J800" s="46"/>
      <c r="K800" s="46"/>
      <c r="L800" s="46"/>
      <c r="M800" s="46" t="str">
        <f aca="false">IF(OR(B800="",I800=""),"",IFERROR(INDEX('Comment flow'!$C$40:$C$46,MATCH(I800,'Comment flow'!$A$40:$A$46,0)),""))</f>
        <v/>
      </c>
      <c r="N800" s="46" t="str">
        <f aca="false">IF(B800="","",IF(OR(I800="",I800="Open: needs a decision",L800=""),"Open","Closed"))</f>
        <v/>
      </c>
      <c r="O800" s="46"/>
      <c r="P800" s="46" t="str">
        <f aca="false">IF(OR(B800="",I800&lt;&gt;"Save for a later revision"),"",IF(COUNTIF('Deferred edits'!$K$2:$K$201,A800)&gt;0,"Yes","● Add to Deferred edits"))</f>
        <v/>
      </c>
    </row>
    <row r="801" customFormat="false" ht="15" hidden="false" customHeight="false" outlineLevel="0" collapsed="false">
      <c r="A801" s="46" t="s">
        <v>1096</v>
      </c>
      <c r="B801" s="46"/>
      <c r="C801" s="46"/>
      <c r="D801" s="46"/>
      <c r="E801" s="46"/>
      <c r="F801" s="46"/>
      <c r="G801" s="46"/>
      <c r="H801" s="46"/>
      <c r="I801" s="46"/>
      <c r="J801" s="46"/>
      <c r="K801" s="46"/>
      <c r="L801" s="46"/>
      <c r="M801" s="46" t="str">
        <f aca="false">IF(OR(B801="",I801=""),"",IFERROR(INDEX('Comment flow'!$C$40:$C$46,MATCH(I801,'Comment flow'!$A$40:$A$46,0)),""))</f>
        <v/>
      </c>
      <c r="N801" s="46" t="str">
        <f aca="false">IF(B801="","",IF(OR(I801="",I801="Open: needs a decision",L801=""),"Open","Closed"))</f>
        <v/>
      </c>
      <c r="O801" s="46"/>
      <c r="P801" s="46" t="str">
        <f aca="false">IF(OR(B801="",I801&lt;&gt;"Save for a later revision"),"",IF(COUNTIF('Deferred edits'!$K$2:$K$201,A801)&gt;0,"Yes","● Add to Deferred edits"))</f>
        <v/>
      </c>
    </row>
    <row r="802" customFormat="false" ht="15" hidden="false" customHeight="false" outlineLevel="0" collapsed="false">
      <c r="A802" s="46" t="s">
        <v>1097</v>
      </c>
      <c r="B802" s="46"/>
      <c r="C802" s="46"/>
      <c r="D802" s="46"/>
      <c r="E802" s="46"/>
      <c r="F802" s="46"/>
      <c r="G802" s="46"/>
      <c r="H802" s="46"/>
      <c r="I802" s="46"/>
      <c r="J802" s="46"/>
      <c r="K802" s="46"/>
      <c r="L802" s="46"/>
      <c r="M802" s="46" t="str">
        <f aca="false">IF(OR(B802="",I802=""),"",IFERROR(INDEX('Comment flow'!$C$40:$C$46,MATCH(I802,'Comment flow'!$A$40:$A$46,0)),""))</f>
        <v/>
      </c>
      <c r="N802" s="46" t="str">
        <f aca="false">IF(B802="","",IF(OR(I802="",I802="Open: needs a decision",L802=""),"Open","Closed"))</f>
        <v/>
      </c>
      <c r="O802" s="46"/>
      <c r="P802" s="46" t="str">
        <f aca="false">IF(OR(B802="",I802&lt;&gt;"Save for a later revision"),"",IF(COUNTIF('Deferred edits'!$K$2:$K$201,A802)&gt;0,"Yes","● Add to Deferred edits"))</f>
        <v/>
      </c>
    </row>
    <row r="803" customFormat="false" ht="15" hidden="false" customHeight="false" outlineLevel="0" collapsed="false">
      <c r="A803" s="46" t="s">
        <v>1098</v>
      </c>
      <c r="B803" s="46"/>
      <c r="C803" s="46"/>
      <c r="D803" s="46"/>
      <c r="E803" s="46"/>
      <c r="F803" s="46"/>
      <c r="G803" s="46"/>
      <c r="H803" s="46"/>
      <c r="I803" s="46"/>
      <c r="J803" s="46"/>
      <c r="K803" s="46"/>
      <c r="L803" s="46"/>
      <c r="M803" s="46" t="str">
        <f aca="false">IF(OR(B803="",I803=""),"",IFERROR(INDEX('Comment flow'!$C$40:$C$46,MATCH(I803,'Comment flow'!$A$40:$A$46,0)),""))</f>
        <v/>
      </c>
      <c r="N803" s="46" t="str">
        <f aca="false">IF(B803="","",IF(OR(I803="",I803="Open: needs a decision",L803=""),"Open","Closed"))</f>
        <v/>
      </c>
      <c r="O803" s="46"/>
      <c r="P803" s="46" t="str">
        <f aca="false">IF(OR(B803="",I803&lt;&gt;"Save for a later revision"),"",IF(COUNTIF('Deferred edits'!$K$2:$K$201,A803)&gt;0,"Yes","● Add to Deferred edits"))</f>
        <v/>
      </c>
    </row>
    <row r="804" customFormat="false" ht="15" hidden="false" customHeight="false" outlineLevel="0" collapsed="false">
      <c r="A804" s="46" t="s">
        <v>1099</v>
      </c>
      <c r="B804" s="46"/>
      <c r="C804" s="46"/>
      <c r="D804" s="46"/>
      <c r="E804" s="46"/>
      <c r="F804" s="46"/>
      <c r="G804" s="46"/>
      <c r="H804" s="46"/>
      <c r="I804" s="46"/>
      <c r="J804" s="46"/>
      <c r="K804" s="46"/>
      <c r="L804" s="46"/>
      <c r="M804" s="46" t="str">
        <f aca="false">IF(OR(B804="",I804=""),"",IFERROR(INDEX('Comment flow'!$C$40:$C$46,MATCH(I804,'Comment flow'!$A$40:$A$46,0)),""))</f>
        <v/>
      </c>
      <c r="N804" s="46" t="str">
        <f aca="false">IF(B804="","",IF(OR(I804="",I804="Open: needs a decision",L804=""),"Open","Closed"))</f>
        <v/>
      </c>
      <c r="O804" s="46"/>
      <c r="P804" s="46" t="str">
        <f aca="false">IF(OR(B804="",I804&lt;&gt;"Save for a later revision"),"",IF(COUNTIF('Deferred edits'!$K$2:$K$201,A804)&gt;0,"Yes","● Add to Deferred edits"))</f>
        <v/>
      </c>
    </row>
    <row r="805" customFormat="false" ht="15" hidden="false" customHeight="false" outlineLevel="0" collapsed="false">
      <c r="A805" s="46" t="s">
        <v>1100</v>
      </c>
      <c r="B805" s="46"/>
      <c r="C805" s="46"/>
      <c r="D805" s="46"/>
      <c r="E805" s="46"/>
      <c r="F805" s="46"/>
      <c r="G805" s="46"/>
      <c r="H805" s="46"/>
      <c r="I805" s="46"/>
      <c r="J805" s="46"/>
      <c r="K805" s="46"/>
      <c r="L805" s="46"/>
      <c r="M805" s="46" t="str">
        <f aca="false">IF(OR(B805="",I805=""),"",IFERROR(INDEX('Comment flow'!$C$40:$C$46,MATCH(I805,'Comment flow'!$A$40:$A$46,0)),""))</f>
        <v/>
      </c>
      <c r="N805" s="46" t="str">
        <f aca="false">IF(B805="","",IF(OR(I805="",I805="Open: needs a decision",L805=""),"Open","Closed"))</f>
        <v/>
      </c>
      <c r="O805" s="46"/>
      <c r="P805" s="46" t="str">
        <f aca="false">IF(OR(B805="",I805&lt;&gt;"Save for a later revision"),"",IF(COUNTIF('Deferred edits'!$K$2:$K$201,A805)&gt;0,"Yes","● Add to Deferred edits"))</f>
        <v/>
      </c>
    </row>
    <row r="806" customFormat="false" ht="15" hidden="false" customHeight="false" outlineLevel="0" collapsed="false">
      <c r="A806" s="46" t="s">
        <v>1101</v>
      </c>
      <c r="B806" s="46"/>
      <c r="C806" s="46"/>
      <c r="D806" s="46"/>
      <c r="E806" s="46"/>
      <c r="F806" s="46"/>
      <c r="G806" s="46"/>
      <c r="H806" s="46"/>
      <c r="I806" s="46"/>
      <c r="J806" s="46"/>
      <c r="K806" s="46"/>
      <c r="L806" s="46"/>
      <c r="M806" s="46" t="str">
        <f aca="false">IF(OR(B806="",I806=""),"",IFERROR(INDEX('Comment flow'!$C$40:$C$46,MATCH(I806,'Comment flow'!$A$40:$A$46,0)),""))</f>
        <v/>
      </c>
      <c r="N806" s="46" t="str">
        <f aca="false">IF(B806="","",IF(OR(I806="",I806="Open: needs a decision",L806=""),"Open","Closed"))</f>
        <v/>
      </c>
      <c r="O806" s="46"/>
      <c r="P806" s="46" t="str">
        <f aca="false">IF(OR(B806="",I806&lt;&gt;"Save for a later revision"),"",IF(COUNTIF('Deferred edits'!$K$2:$K$201,A806)&gt;0,"Yes","● Add to Deferred edits"))</f>
        <v/>
      </c>
    </row>
    <row r="807" customFormat="false" ht="15" hidden="false" customHeight="false" outlineLevel="0" collapsed="false">
      <c r="A807" s="46" t="s">
        <v>1102</v>
      </c>
      <c r="B807" s="46"/>
      <c r="C807" s="46"/>
      <c r="D807" s="46"/>
      <c r="E807" s="46"/>
      <c r="F807" s="46"/>
      <c r="G807" s="46"/>
      <c r="H807" s="46"/>
      <c r="I807" s="46"/>
      <c r="J807" s="46"/>
      <c r="K807" s="46"/>
      <c r="L807" s="46"/>
      <c r="M807" s="46" t="str">
        <f aca="false">IF(OR(B807="",I807=""),"",IFERROR(INDEX('Comment flow'!$C$40:$C$46,MATCH(I807,'Comment flow'!$A$40:$A$46,0)),""))</f>
        <v/>
      </c>
      <c r="N807" s="46" t="str">
        <f aca="false">IF(B807="","",IF(OR(I807="",I807="Open: needs a decision",L807=""),"Open","Closed"))</f>
        <v/>
      </c>
      <c r="O807" s="46"/>
      <c r="P807" s="46" t="str">
        <f aca="false">IF(OR(B807="",I807&lt;&gt;"Save for a later revision"),"",IF(COUNTIF('Deferred edits'!$K$2:$K$201,A807)&gt;0,"Yes","● Add to Deferred edits"))</f>
        <v/>
      </c>
    </row>
    <row r="808" customFormat="false" ht="15" hidden="false" customHeight="false" outlineLevel="0" collapsed="false">
      <c r="A808" s="46" t="s">
        <v>1103</v>
      </c>
      <c r="B808" s="46"/>
      <c r="C808" s="46"/>
      <c r="D808" s="46"/>
      <c r="E808" s="46"/>
      <c r="F808" s="46"/>
      <c r="G808" s="46"/>
      <c r="H808" s="46"/>
      <c r="I808" s="46"/>
      <c r="J808" s="46"/>
      <c r="K808" s="46"/>
      <c r="L808" s="46"/>
      <c r="M808" s="46" t="str">
        <f aca="false">IF(OR(B808="",I808=""),"",IFERROR(INDEX('Comment flow'!$C$40:$C$46,MATCH(I808,'Comment flow'!$A$40:$A$46,0)),""))</f>
        <v/>
      </c>
      <c r="N808" s="46" t="str">
        <f aca="false">IF(B808="","",IF(OR(I808="",I808="Open: needs a decision",L808=""),"Open","Closed"))</f>
        <v/>
      </c>
      <c r="O808" s="46"/>
      <c r="P808" s="46" t="str">
        <f aca="false">IF(OR(B808="",I808&lt;&gt;"Save for a later revision"),"",IF(COUNTIF('Deferred edits'!$K$2:$K$201,A808)&gt;0,"Yes","● Add to Deferred edits"))</f>
        <v/>
      </c>
    </row>
    <row r="809" customFormat="false" ht="15" hidden="false" customHeight="false" outlineLevel="0" collapsed="false">
      <c r="A809" s="46" t="s">
        <v>1104</v>
      </c>
      <c r="B809" s="46"/>
      <c r="C809" s="46"/>
      <c r="D809" s="46"/>
      <c r="E809" s="46"/>
      <c r="F809" s="46"/>
      <c r="G809" s="46"/>
      <c r="H809" s="46"/>
      <c r="I809" s="46"/>
      <c r="J809" s="46"/>
      <c r="K809" s="46"/>
      <c r="L809" s="46"/>
      <c r="M809" s="46" t="str">
        <f aca="false">IF(OR(B809="",I809=""),"",IFERROR(INDEX('Comment flow'!$C$40:$C$46,MATCH(I809,'Comment flow'!$A$40:$A$46,0)),""))</f>
        <v/>
      </c>
      <c r="N809" s="46" t="str">
        <f aca="false">IF(B809="","",IF(OR(I809="",I809="Open: needs a decision",L809=""),"Open","Closed"))</f>
        <v/>
      </c>
      <c r="O809" s="46"/>
      <c r="P809" s="46" t="str">
        <f aca="false">IF(OR(B809="",I809&lt;&gt;"Save for a later revision"),"",IF(COUNTIF('Deferred edits'!$K$2:$K$201,A809)&gt;0,"Yes","● Add to Deferred edits"))</f>
        <v/>
      </c>
    </row>
    <row r="810" customFormat="false" ht="15" hidden="false" customHeight="false" outlineLevel="0" collapsed="false">
      <c r="A810" s="46" t="s">
        <v>1105</v>
      </c>
      <c r="B810" s="46"/>
      <c r="C810" s="46"/>
      <c r="D810" s="46"/>
      <c r="E810" s="46"/>
      <c r="F810" s="46"/>
      <c r="G810" s="46"/>
      <c r="H810" s="46"/>
      <c r="I810" s="46"/>
      <c r="J810" s="46"/>
      <c r="K810" s="46"/>
      <c r="L810" s="46"/>
      <c r="M810" s="46" t="str">
        <f aca="false">IF(OR(B810="",I810=""),"",IFERROR(INDEX('Comment flow'!$C$40:$C$46,MATCH(I810,'Comment flow'!$A$40:$A$46,0)),""))</f>
        <v/>
      </c>
      <c r="N810" s="46" t="str">
        <f aca="false">IF(B810="","",IF(OR(I810="",I810="Open: needs a decision",L810=""),"Open","Closed"))</f>
        <v/>
      </c>
      <c r="O810" s="46"/>
      <c r="P810" s="46" t="str">
        <f aca="false">IF(OR(B810="",I810&lt;&gt;"Save for a later revision"),"",IF(COUNTIF('Deferred edits'!$K$2:$K$201,A810)&gt;0,"Yes","● Add to Deferred edits"))</f>
        <v/>
      </c>
    </row>
    <row r="811" customFormat="false" ht="15" hidden="false" customHeight="false" outlineLevel="0" collapsed="false">
      <c r="A811" s="46" t="s">
        <v>1106</v>
      </c>
      <c r="B811" s="46"/>
      <c r="C811" s="46"/>
      <c r="D811" s="46"/>
      <c r="E811" s="46"/>
      <c r="F811" s="46"/>
      <c r="G811" s="46"/>
      <c r="H811" s="46"/>
      <c r="I811" s="46"/>
      <c r="J811" s="46"/>
      <c r="K811" s="46"/>
      <c r="L811" s="46"/>
      <c r="M811" s="46" t="str">
        <f aca="false">IF(OR(B811="",I811=""),"",IFERROR(INDEX('Comment flow'!$C$40:$C$46,MATCH(I811,'Comment flow'!$A$40:$A$46,0)),""))</f>
        <v/>
      </c>
      <c r="N811" s="46" t="str">
        <f aca="false">IF(B811="","",IF(OR(I811="",I811="Open: needs a decision",L811=""),"Open","Closed"))</f>
        <v/>
      </c>
      <c r="O811" s="46"/>
      <c r="P811" s="46" t="str">
        <f aca="false">IF(OR(B811="",I811&lt;&gt;"Save for a later revision"),"",IF(COUNTIF('Deferred edits'!$K$2:$K$201,A811)&gt;0,"Yes","● Add to Deferred edits"))</f>
        <v/>
      </c>
    </row>
    <row r="812" customFormat="false" ht="15" hidden="false" customHeight="false" outlineLevel="0" collapsed="false">
      <c r="A812" s="46" t="s">
        <v>1107</v>
      </c>
      <c r="B812" s="46"/>
      <c r="C812" s="46"/>
      <c r="D812" s="46"/>
      <c r="E812" s="46"/>
      <c r="F812" s="46"/>
      <c r="G812" s="46"/>
      <c r="H812" s="46"/>
      <c r="I812" s="46"/>
      <c r="J812" s="46"/>
      <c r="K812" s="46"/>
      <c r="L812" s="46"/>
      <c r="M812" s="46" t="str">
        <f aca="false">IF(OR(B812="",I812=""),"",IFERROR(INDEX('Comment flow'!$C$40:$C$46,MATCH(I812,'Comment flow'!$A$40:$A$46,0)),""))</f>
        <v/>
      </c>
      <c r="N812" s="46" t="str">
        <f aca="false">IF(B812="","",IF(OR(I812="",I812="Open: needs a decision",L812=""),"Open","Closed"))</f>
        <v/>
      </c>
      <c r="O812" s="46"/>
      <c r="P812" s="46" t="str">
        <f aca="false">IF(OR(B812="",I812&lt;&gt;"Save for a later revision"),"",IF(COUNTIF('Deferred edits'!$K$2:$K$201,A812)&gt;0,"Yes","● Add to Deferred edits"))</f>
        <v/>
      </c>
    </row>
    <row r="813" customFormat="false" ht="15" hidden="false" customHeight="false" outlineLevel="0" collapsed="false">
      <c r="A813" s="46" t="s">
        <v>1108</v>
      </c>
      <c r="B813" s="46"/>
      <c r="C813" s="46"/>
      <c r="D813" s="46"/>
      <c r="E813" s="46"/>
      <c r="F813" s="46"/>
      <c r="G813" s="46"/>
      <c r="H813" s="46"/>
      <c r="I813" s="46"/>
      <c r="J813" s="46"/>
      <c r="K813" s="46"/>
      <c r="L813" s="46"/>
      <c r="M813" s="46" t="str">
        <f aca="false">IF(OR(B813="",I813=""),"",IFERROR(INDEX('Comment flow'!$C$40:$C$46,MATCH(I813,'Comment flow'!$A$40:$A$46,0)),""))</f>
        <v/>
      </c>
      <c r="N813" s="46" t="str">
        <f aca="false">IF(B813="","",IF(OR(I813="",I813="Open: needs a decision",L813=""),"Open","Closed"))</f>
        <v/>
      </c>
      <c r="O813" s="46"/>
      <c r="P813" s="46" t="str">
        <f aca="false">IF(OR(B813="",I813&lt;&gt;"Save for a later revision"),"",IF(COUNTIF('Deferred edits'!$K$2:$K$201,A813)&gt;0,"Yes","● Add to Deferred edits"))</f>
        <v/>
      </c>
    </row>
    <row r="814" customFormat="false" ht="15" hidden="false" customHeight="false" outlineLevel="0" collapsed="false">
      <c r="A814" s="46" t="s">
        <v>1109</v>
      </c>
      <c r="B814" s="46"/>
      <c r="C814" s="46"/>
      <c r="D814" s="46"/>
      <c r="E814" s="46"/>
      <c r="F814" s="46"/>
      <c r="G814" s="46"/>
      <c r="H814" s="46"/>
      <c r="I814" s="46"/>
      <c r="J814" s="46"/>
      <c r="K814" s="46"/>
      <c r="L814" s="46"/>
      <c r="M814" s="46" t="str">
        <f aca="false">IF(OR(B814="",I814=""),"",IFERROR(INDEX('Comment flow'!$C$40:$C$46,MATCH(I814,'Comment flow'!$A$40:$A$46,0)),""))</f>
        <v/>
      </c>
      <c r="N814" s="46" t="str">
        <f aca="false">IF(B814="","",IF(OR(I814="",I814="Open: needs a decision",L814=""),"Open","Closed"))</f>
        <v/>
      </c>
      <c r="O814" s="46"/>
      <c r="P814" s="46" t="str">
        <f aca="false">IF(OR(B814="",I814&lt;&gt;"Save for a later revision"),"",IF(COUNTIF('Deferred edits'!$K$2:$K$201,A814)&gt;0,"Yes","● Add to Deferred edits"))</f>
        <v/>
      </c>
    </row>
    <row r="815" customFormat="false" ht="15" hidden="false" customHeight="false" outlineLevel="0" collapsed="false">
      <c r="A815" s="46" t="s">
        <v>1110</v>
      </c>
      <c r="B815" s="46"/>
      <c r="C815" s="46"/>
      <c r="D815" s="46"/>
      <c r="E815" s="46"/>
      <c r="F815" s="46"/>
      <c r="G815" s="46"/>
      <c r="H815" s="46"/>
      <c r="I815" s="46"/>
      <c r="J815" s="46"/>
      <c r="K815" s="46"/>
      <c r="L815" s="46"/>
      <c r="M815" s="46" t="str">
        <f aca="false">IF(OR(B815="",I815=""),"",IFERROR(INDEX('Comment flow'!$C$40:$C$46,MATCH(I815,'Comment flow'!$A$40:$A$46,0)),""))</f>
        <v/>
      </c>
      <c r="N815" s="46" t="str">
        <f aca="false">IF(B815="","",IF(OR(I815="",I815="Open: needs a decision",L815=""),"Open","Closed"))</f>
        <v/>
      </c>
      <c r="O815" s="46"/>
      <c r="P815" s="46" t="str">
        <f aca="false">IF(OR(B815="",I815&lt;&gt;"Save for a later revision"),"",IF(COUNTIF('Deferred edits'!$K$2:$K$201,A815)&gt;0,"Yes","● Add to Deferred edits"))</f>
        <v/>
      </c>
    </row>
    <row r="816" customFormat="false" ht="15" hidden="false" customHeight="false" outlineLevel="0" collapsed="false">
      <c r="A816" s="46" t="s">
        <v>1111</v>
      </c>
      <c r="B816" s="46"/>
      <c r="C816" s="46"/>
      <c r="D816" s="46"/>
      <c r="E816" s="46"/>
      <c r="F816" s="46"/>
      <c r="G816" s="46"/>
      <c r="H816" s="46"/>
      <c r="I816" s="46"/>
      <c r="J816" s="46"/>
      <c r="K816" s="46"/>
      <c r="L816" s="46"/>
      <c r="M816" s="46" t="str">
        <f aca="false">IF(OR(B816="",I816=""),"",IFERROR(INDEX('Comment flow'!$C$40:$C$46,MATCH(I816,'Comment flow'!$A$40:$A$46,0)),""))</f>
        <v/>
      </c>
      <c r="N816" s="46" t="str">
        <f aca="false">IF(B816="","",IF(OR(I816="",I816="Open: needs a decision",L816=""),"Open","Closed"))</f>
        <v/>
      </c>
      <c r="O816" s="46"/>
      <c r="P816" s="46" t="str">
        <f aca="false">IF(OR(B816="",I816&lt;&gt;"Save for a later revision"),"",IF(COUNTIF('Deferred edits'!$K$2:$K$201,A816)&gt;0,"Yes","● Add to Deferred edits"))</f>
        <v/>
      </c>
    </row>
    <row r="817" customFormat="false" ht="15" hidden="false" customHeight="false" outlineLevel="0" collapsed="false">
      <c r="A817" s="46" t="s">
        <v>1112</v>
      </c>
      <c r="B817" s="46"/>
      <c r="C817" s="46"/>
      <c r="D817" s="46"/>
      <c r="E817" s="46"/>
      <c r="F817" s="46"/>
      <c r="G817" s="46"/>
      <c r="H817" s="46"/>
      <c r="I817" s="46"/>
      <c r="J817" s="46"/>
      <c r="K817" s="46"/>
      <c r="L817" s="46"/>
      <c r="M817" s="46" t="str">
        <f aca="false">IF(OR(B817="",I817=""),"",IFERROR(INDEX('Comment flow'!$C$40:$C$46,MATCH(I817,'Comment flow'!$A$40:$A$46,0)),""))</f>
        <v/>
      </c>
      <c r="N817" s="46" t="str">
        <f aca="false">IF(B817="","",IF(OR(I817="",I817="Open: needs a decision",L817=""),"Open","Closed"))</f>
        <v/>
      </c>
      <c r="O817" s="46"/>
      <c r="P817" s="46" t="str">
        <f aca="false">IF(OR(B817="",I817&lt;&gt;"Save for a later revision"),"",IF(COUNTIF('Deferred edits'!$K$2:$K$201,A817)&gt;0,"Yes","● Add to Deferred edits"))</f>
        <v/>
      </c>
    </row>
    <row r="818" customFormat="false" ht="15" hidden="false" customHeight="false" outlineLevel="0" collapsed="false">
      <c r="A818" s="46" t="s">
        <v>1113</v>
      </c>
      <c r="B818" s="46"/>
      <c r="C818" s="46"/>
      <c r="D818" s="46"/>
      <c r="E818" s="46"/>
      <c r="F818" s="46"/>
      <c r="G818" s="46"/>
      <c r="H818" s="46"/>
      <c r="I818" s="46"/>
      <c r="J818" s="46"/>
      <c r="K818" s="46"/>
      <c r="L818" s="46"/>
      <c r="M818" s="46" t="str">
        <f aca="false">IF(OR(B818="",I818=""),"",IFERROR(INDEX('Comment flow'!$C$40:$C$46,MATCH(I818,'Comment flow'!$A$40:$A$46,0)),""))</f>
        <v/>
      </c>
      <c r="N818" s="46" t="str">
        <f aca="false">IF(B818="","",IF(OR(I818="",I818="Open: needs a decision",L818=""),"Open","Closed"))</f>
        <v/>
      </c>
      <c r="O818" s="46"/>
      <c r="P818" s="46" t="str">
        <f aca="false">IF(OR(B818="",I818&lt;&gt;"Save for a later revision"),"",IF(COUNTIF('Deferred edits'!$K$2:$K$201,A818)&gt;0,"Yes","● Add to Deferred edits"))</f>
        <v/>
      </c>
    </row>
    <row r="819" customFormat="false" ht="15" hidden="false" customHeight="false" outlineLevel="0" collapsed="false">
      <c r="A819" s="46" t="s">
        <v>1114</v>
      </c>
      <c r="B819" s="46"/>
      <c r="C819" s="46"/>
      <c r="D819" s="46"/>
      <c r="E819" s="46"/>
      <c r="F819" s="46"/>
      <c r="G819" s="46"/>
      <c r="H819" s="46"/>
      <c r="I819" s="46"/>
      <c r="J819" s="46"/>
      <c r="K819" s="46"/>
      <c r="L819" s="46"/>
      <c r="M819" s="46" t="str">
        <f aca="false">IF(OR(B819="",I819=""),"",IFERROR(INDEX('Comment flow'!$C$40:$C$46,MATCH(I819,'Comment flow'!$A$40:$A$46,0)),""))</f>
        <v/>
      </c>
      <c r="N819" s="46" t="str">
        <f aca="false">IF(B819="","",IF(OR(I819="",I819="Open: needs a decision",L819=""),"Open","Closed"))</f>
        <v/>
      </c>
      <c r="O819" s="46"/>
      <c r="P819" s="46" t="str">
        <f aca="false">IF(OR(B819="",I819&lt;&gt;"Save for a later revision"),"",IF(COUNTIF('Deferred edits'!$K$2:$K$201,A819)&gt;0,"Yes","● Add to Deferred edits"))</f>
        <v/>
      </c>
    </row>
    <row r="820" customFormat="false" ht="15" hidden="false" customHeight="false" outlineLevel="0" collapsed="false">
      <c r="A820" s="46" t="s">
        <v>1115</v>
      </c>
      <c r="B820" s="46"/>
      <c r="C820" s="46"/>
      <c r="D820" s="46"/>
      <c r="E820" s="46"/>
      <c r="F820" s="46"/>
      <c r="G820" s="46"/>
      <c r="H820" s="46"/>
      <c r="I820" s="46"/>
      <c r="J820" s="46"/>
      <c r="K820" s="46"/>
      <c r="L820" s="46"/>
      <c r="M820" s="46" t="str">
        <f aca="false">IF(OR(B820="",I820=""),"",IFERROR(INDEX('Comment flow'!$C$40:$C$46,MATCH(I820,'Comment flow'!$A$40:$A$46,0)),""))</f>
        <v/>
      </c>
      <c r="N820" s="46" t="str">
        <f aca="false">IF(B820="","",IF(OR(I820="",I820="Open: needs a decision",L820=""),"Open","Closed"))</f>
        <v/>
      </c>
      <c r="O820" s="46"/>
      <c r="P820" s="46" t="str">
        <f aca="false">IF(OR(B820="",I820&lt;&gt;"Save for a later revision"),"",IF(COUNTIF('Deferred edits'!$K$2:$K$201,A820)&gt;0,"Yes","● Add to Deferred edits"))</f>
        <v/>
      </c>
    </row>
    <row r="821" customFormat="false" ht="15" hidden="false" customHeight="false" outlineLevel="0" collapsed="false">
      <c r="A821" s="46" t="s">
        <v>1116</v>
      </c>
      <c r="B821" s="46"/>
      <c r="C821" s="46"/>
      <c r="D821" s="46"/>
      <c r="E821" s="46"/>
      <c r="F821" s="46"/>
      <c r="G821" s="46"/>
      <c r="H821" s="46"/>
      <c r="I821" s="46"/>
      <c r="J821" s="46"/>
      <c r="K821" s="46"/>
      <c r="L821" s="46"/>
      <c r="M821" s="46" t="str">
        <f aca="false">IF(OR(B821="",I821=""),"",IFERROR(INDEX('Comment flow'!$C$40:$C$46,MATCH(I821,'Comment flow'!$A$40:$A$46,0)),""))</f>
        <v/>
      </c>
      <c r="N821" s="46" t="str">
        <f aca="false">IF(B821="","",IF(OR(I821="",I821="Open: needs a decision",L821=""),"Open","Closed"))</f>
        <v/>
      </c>
      <c r="O821" s="46"/>
      <c r="P821" s="46" t="str">
        <f aca="false">IF(OR(B821="",I821&lt;&gt;"Save for a later revision"),"",IF(COUNTIF('Deferred edits'!$K$2:$K$201,A821)&gt;0,"Yes","● Add to Deferred edits"))</f>
        <v/>
      </c>
    </row>
    <row r="822" customFormat="false" ht="15" hidden="false" customHeight="false" outlineLevel="0" collapsed="false">
      <c r="A822" s="46" t="s">
        <v>1117</v>
      </c>
      <c r="B822" s="46"/>
      <c r="C822" s="46"/>
      <c r="D822" s="46"/>
      <c r="E822" s="46"/>
      <c r="F822" s="46"/>
      <c r="G822" s="46"/>
      <c r="H822" s="46"/>
      <c r="I822" s="46"/>
      <c r="J822" s="46"/>
      <c r="K822" s="46"/>
      <c r="L822" s="46"/>
      <c r="M822" s="46" t="str">
        <f aca="false">IF(OR(B822="",I822=""),"",IFERROR(INDEX('Comment flow'!$C$40:$C$46,MATCH(I822,'Comment flow'!$A$40:$A$46,0)),""))</f>
        <v/>
      </c>
      <c r="N822" s="46" t="str">
        <f aca="false">IF(B822="","",IF(OR(I822="",I822="Open: needs a decision",L822=""),"Open","Closed"))</f>
        <v/>
      </c>
      <c r="O822" s="46"/>
      <c r="P822" s="46" t="str">
        <f aca="false">IF(OR(B822="",I822&lt;&gt;"Save for a later revision"),"",IF(COUNTIF('Deferred edits'!$K$2:$K$201,A822)&gt;0,"Yes","● Add to Deferred edits"))</f>
        <v/>
      </c>
    </row>
    <row r="823" customFormat="false" ht="15" hidden="false" customHeight="false" outlineLevel="0" collapsed="false">
      <c r="A823" s="46" t="s">
        <v>1118</v>
      </c>
      <c r="B823" s="46"/>
      <c r="C823" s="46"/>
      <c r="D823" s="46"/>
      <c r="E823" s="46"/>
      <c r="F823" s="46"/>
      <c r="G823" s="46"/>
      <c r="H823" s="46"/>
      <c r="I823" s="46"/>
      <c r="J823" s="46"/>
      <c r="K823" s="46"/>
      <c r="L823" s="46"/>
      <c r="M823" s="46" t="str">
        <f aca="false">IF(OR(B823="",I823=""),"",IFERROR(INDEX('Comment flow'!$C$40:$C$46,MATCH(I823,'Comment flow'!$A$40:$A$46,0)),""))</f>
        <v/>
      </c>
      <c r="N823" s="46" t="str">
        <f aca="false">IF(B823="","",IF(OR(I823="",I823="Open: needs a decision",L823=""),"Open","Closed"))</f>
        <v/>
      </c>
      <c r="O823" s="46"/>
      <c r="P823" s="46" t="str">
        <f aca="false">IF(OR(B823="",I823&lt;&gt;"Save for a later revision"),"",IF(COUNTIF('Deferred edits'!$K$2:$K$201,A823)&gt;0,"Yes","● Add to Deferred edits"))</f>
        <v/>
      </c>
    </row>
    <row r="824" customFormat="false" ht="15" hidden="false" customHeight="false" outlineLevel="0" collapsed="false">
      <c r="A824" s="46" t="s">
        <v>1119</v>
      </c>
      <c r="B824" s="46"/>
      <c r="C824" s="46"/>
      <c r="D824" s="46"/>
      <c r="E824" s="46"/>
      <c r="F824" s="46"/>
      <c r="G824" s="46"/>
      <c r="H824" s="46"/>
      <c r="I824" s="46"/>
      <c r="J824" s="46"/>
      <c r="K824" s="46"/>
      <c r="L824" s="46"/>
      <c r="M824" s="46" t="str">
        <f aca="false">IF(OR(B824="",I824=""),"",IFERROR(INDEX('Comment flow'!$C$40:$C$46,MATCH(I824,'Comment flow'!$A$40:$A$46,0)),""))</f>
        <v/>
      </c>
      <c r="N824" s="46" t="str">
        <f aca="false">IF(B824="","",IF(OR(I824="",I824="Open: needs a decision",L824=""),"Open","Closed"))</f>
        <v/>
      </c>
      <c r="O824" s="46"/>
      <c r="P824" s="46" t="str">
        <f aca="false">IF(OR(B824="",I824&lt;&gt;"Save for a later revision"),"",IF(COUNTIF('Deferred edits'!$K$2:$K$201,A824)&gt;0,"Yes","● Add to Deferred edits"))</f>
        <v/>
      </c>
    </row>
    <row r="825" customFormat="false" ht="15" hidden="false" customHeight="false" outlineLevel="0" collapsed="false">
      <c r="A825" s="46" t="s">
        <v>1120</v>
      </c>
      <c r="B825" s="46"/>
      <c r="C825" s="46"/>
      <c r="D825" s="46"/>
      <c r="E825" s="46"/>
      <c r="F825" s="46"/>
      <c r="G825" s="46"/>
      <c r="H825" s="46"/>
      <c r="I825" s="46"/>
      <c r="J825" s="46"/>
      <c r="K825" s="46"/>
      <c r="L825" s="46"/>
      <c r="M825" s="46" t="str">
        <f aca="false">IF(OR(B825="",I825=""),"",IFERROR(INDEX('Comment flow'!$C$40:$C$46,MATCH(I825,'Comment flow'!$A$40:$A$46,0)),""))</f>
        <v/>
      </c>
      <c r="N825" s="46" t="str">
        <f aca="false">IF(B825="","",IF(OR(I825="",I825="Open: needs a decision",L825=""),"Open","Closed"))</f>
        <v/>
      </c>
      <c r="O825" s="46"/>
      <c r="P825" s="46" t="str">
        <f aca="false">IF(OR(B825="",I825&lt;&gt;"Save for a later revision"),"",IF(COUNTIF('Deferred edits'!$K$2:$K$201,A825)&gt;0,"Yes","● Add to Deferred edits"))</f>
        <v/>
      </c>
    </row>
    <row r="826" customFormat="false" ht="15" hidden="false" customHeight="false" outlineLevel="0" collapsed="false">
      <c r="A826" s="46" t="s">
        <v>1121</v>
      </c>
      <c r="B826" s="46"/>
      <c r="C826" s="46"/>
      <c r="D826" s="46"/>
      <c r="E826" s="46"/>
      <c r="F826" s="46"/>
      <c r="G826" s="46"/>
      <c r="H826" s="46"/>
      <c r="I826" s="46"/>
      <c r="J826" s="46"/>
      <c r="K826" s="46"/>
      <c r="L826" s="46"/>
      <c r="M826" s="46" t="str">
        <f aca="false">IF(OR(B826="",I826=""),"",IFERROR(INDEX('Comment flow'!$C$40:$C$46,MATCH(I826,'Comment flow'!$A$40:$A$46,0)),""))</f>
        <v/>
      </c>
      <c r="N826" s="46" t="str">
        <f aca="false">IF(B826="","",IF(OR(I826="",I826="Open: needs a decision",L826=""),"Open","Closed"))</f>
        <v/>
      </c>
      <c r="O826" s="46"/>
      <c r="P826" s="46" t="str">
        <f aca="false">IF(OR(B826="",I826&lt;&gt;"Save for a later revision"),"",IF(COUNTIF('Deferred edits'!$K$2:$K$201,A826)&gt;0,"Yes","● Add to Deferred edits"))</f>
        <v/>
      </c>
    </row>
    <row r="827" customFormat="false" ht="15" hidden="false" customHeight="false" outlineLevel="0" collapsed="false">
      <c r="A827" s="46" t="s">
        <v>1122</v>
      </c>
      <c r="B827" s="46"/>
      <c r="C827" s="46"/>
      <c r="D827" s="46"/>
      <c r="E827" s="46"/>
      <c r="F827" s="46"/>
      <c r="G827" s="46"/>
      <c r="H827" s="46"/>
      <c r="I827" s="46"/>
      <c r="J827" s="46"/>
      <c r="K827" s="46"/>
      <c r="L827" s="46"/>
      <c r="M827" s="46" t="str">
        <f aca="false">IF(OR(B827="",I827=""),"",IFERROR(INDEX('Comment flow'!$C$40:$C$46,MATCH(I827,'Comment flow'!$A$40:$A$46,0)),""))</f>
        <v/>
      </c>
      <c r="N827" s="46" t="str">
        <f aca="false">IF(B827="","",IF(OR(I827="",I827="Open: needs a decision",L827=""),"Open","Closed"))</f>
        <v/>
      </c>
      <c r="O827" s="46"/>
      <c r="P827" s="46" t="str">
        <f aca="false">IF(OR(B827="",I827&lt;&gt;"Save for a later revision"),"",IF(COUNTIF('Deferred edits'!$K$2:$K$201,A827)&gt;0,"Yes","● Add to Deferred edits"))</f>
        <v/>
      </c>
    </row>
    <row r="828" customFormat="false" ht="15" hidden="false" customHeight="false" outlineLevel="0" collapsed="false">
      <c r="A828" s="46" t="s">
        <v>1123</v>
      </c>
      <c r="B828" s="46"/>
      <c r="C828" s="46"/>
      <c r="D828" s="46"/>
      <c r="E828" s="46"/>
      <c r="F828" s="46"/>
      <c r="G828" s="46"/>
      <c r="H828" s="46"/>
      <c r="I828" s="46"/>
      <c r="J828" s="46"/>
      <c r="K828" s="46"/>
      <c r="L828" s="46"/>
      <c r="M828" s="46" t="str">
        <f aca="false">IF(OR(B828="",I828=""),"",IFERROR(INDEX('Comment flow'!$C$40:$C$46,MATCH(I828,'Comment flow'!$A$40:$A$46,0)),""))</f>
        <v/>
      </c>
      <c r="N828" s="46" t="str">
        <f aca="false">IF(B828="","",IF(OR(I828="",I828="Open: needs a decision",L828=""),"Open","Closed"))</f>
        <v/>
      </c>
      <c r="O828" s="46"/>
      <c r="P828" s="46" t="str">
        <f aca="false">IF(OR(B828="",I828&lt;&gt;"Save for a later revision"),"",IF(COUNTIF('Deferred edits'!$K$2:$K$201,A828)&gt;0,"Yes","● Add to Deferred edits"))</f>
        <v/>
      </c>
    </row>
    <row r="829" customFormat="false" ht="15" hidden="false" customHeight="false" outlineLevel="0" collapsed="false">
      <c r="A829" s="46" t="s">
        <v>1124</v>
      </c>
      <c r="B829" s="46"/>
      <c r="C829" s="46"/>
      <c r="D829" s="46"/>
      <c r="E829" s="46"/>
      <c r="F829" s="46"/>
      <c r="G829" s="46"/>
      <c r="H829" s="46"/>
      <c r="I829" s="46"/>
      <c r="J829" s="46"/>
      <c r="K829" s="46"/>
      <c r="L829" s="46"/>
      <c r="M829" s="46" t="str">
        <f aca="false">IF(OR(B829="",I829=""),"",IFERROR(INDEX('Comment flow'!$C$40:$C$46,MATCH(I829,'Comment flow'!$A$40:$A$46,0)),""))</f>
        <v/>
      </c>
      <c r="N829" s="46" t="str">
        <f aca="false">IF(B829="","",IF(OR(I829="",I829="Open: needs a decision",L829=""),"Open","Closed"))</f>
        <v/>
      </c>
      <c r="O829" s="46"/>
      <c r="P829" s="46" t="str">
        <f aca="false">IF(OR(B829="",I829&lt;&gt;"Save for a later revision"),"",IF(COUNTIF('Deferred edits'!$K$2:$K$201,A829)&gt;0,"Yes","● Add to Deferred edits"))</f>
        <v/>
      </c>
    </row>
    <row r="830" customFormat="false" ht="15" hidden="false" customHeight="false" outlineLevel="0" collapsed="false">
      <c r="A830" s="46" t="s">
        <v>1125</v>
      </c>
      <c r="B830" s="46"/>
      <c r="C830" s="46"/>
      <c r="D830" s="46"/>
      <c r="E830" s="46"/>
      <c r="F830" s="46"/>
      <c r="G830" s="46"/>
      <c r="H830" s="46"/>
      <c r="I830" s="46"/>
      <c r="J830" s="46"/>
      <c r="K830" s="46"/>
      <c r="L830" s="46"/>
      <c r="M830" s="46" t="str">
        <f aca="false">IF(OR(B830="",I830=""),"",IFERROR(INDEX('Comment flow'!$C$40:$C$46,MATCH(I830,'Comment flow'!$A$40:$A$46,0)),""))</f>
        <v/>
      </c>
      <c r="N830" s="46" t="str">
        <f aca="false">IF(B830="","",IF(OR(I830="",I830="Open: needs a decision",L830=""),"Open","Closed"))</f>
        <v/>
      </c>
      <c r="O830" s="46"/>
      <c r="P830" s="46" t="str">
        <f aca="false">IF(OR(B830="",I830&lt;&gt;"Save for a later revision"),"",IF(COUNTIF('Deferred edits'!$K$2:$K$201,A830)&gt;0,"Yes","● Add to Deferred edits"))</f>
        <v/>
      </c>
    </row>
    <row r="831" customFormat="false" ht="15" hidden="false" customHeight="false" outlineLevel="0" collapsed="false">
      <c r="A831" s="46" t="s">
        <v>1126</v>
      </c>
      <c r="B831" s="46"/>
      <c r="C831" s="46"/>
      <c r="D831" s="46"/>
      <c r="E831" s="46"/>
      <c r="F831" s="46"/>
      <c r="G831" s="46"/>
      <c r="H831" s="46"/>
      <c r="I831" s="46"/>
      <c r="J831" s="46"/>
      <c r="K831" s="46"/>
      <c r="L831" s="46"/>
      <c r="M831" s="46" t="str">
        <f aca="false">IF(OR(B831="",I831=""),"",IFERROR(INDEX('Comment flow'!$C$40:$C$46,MATCH(I831,'Comment flow'!$A$40:$A$46,0)),""))</f>
        <v/>
      </c>
      <c r="N831" s="46" t="str">
        <f aca="false">IF(B831="","",IF(OR(I831="",I831="Open: needs a decision",L831=""),"Open","Closed"))</f>
        <v/>
      </c>
      <c r="O831" s="46"/>
      <c r="P831" s="46" t="str">
        <f aca="false">IF(OR(B831="",I831&lt;&gt;"Save for a later revision"),"",IF(COUNTIF('Deferred edits'!$K$2:$K$201,A831)&gt;0,"Yes","● Add to Deferred edits"))</f>
        <v/>
      </c>
    </row>
    <row r="832" customFormat="false" ht="15" hidden="false" customHeight="false" outlineLevel="0" collapsed="false">
      <c r="A832" s="46" t="s">
        <v>1127</v>
      </c>
      <c r="B832" s="46"/>
      <c r="C832" s="46"/>
      <c r="D832" s="46"/>
      <c r="E832" s="46"/>
      <c r="F832" s="46"/>
      <c r="G832" s="46"/>
      <c r="H832" s="46"/>
      <c r="I832" s="46"/>
      <c r="J832" s="46"/>
      <c r="K832" s="46"/>
      <c r="L832" s="46"/>
      <c r="M832" s="46" t="str">
        <f aca="false">IF(OR(B832="",I832=""),"",IFERROR(INDEX('Comment flow'!$C$40:$C$46,MATCH(I832,'Comment flow'!$A$40:$A$46,0)),""))</f>
        <v/>
      </c>
      <c r="N832" s="46" t="str">
        <f aca="false">IF(B832="","",IF(OR(I832="",I832="Open: needs a decision",L832=""),"Open","Closed"))</f>
        <v/>
      </c>
      <c r="O832" s="46"/>
      <c r="P832" s="46" t="str">
        <f aca="false">IF(OR(B832="",I832&lt;&gt;"Save for a later revision"),"",IF(COUNTIF('Deferred edits'!$K$2:$K$201,A832)&gt;0,"Yes","● Add to Deferred edits"))</f>
        <v/>
      </c>
    </row>
    <row r="833" customFormat="false" ht="15" hidden="false" customHeight="false" outlineLevel="0" collapsed="false">
      <c r="A833" s="46" t="s">
        <v>1128</v>
      </c>
      <c r="B833" s="46"/>
      <c r="C833" s="46"/>
      <c r="D833" s="46"/>
      <c r="E833" s="46"/>
      <c r="F833" s="46"/>
      <c r="G833" s="46"/>
      <c r="H833" s="46"/>
      <c r="I833" s="46"/>
      <c r="J833" s="46"/>
      <c r="K833" s="46"/>
      <c r="L833" s="46"/>
      <c r="M833" s="46" t="str">
        <f aca="false">IF(OR(B833="",I833=""),"",IFERROR(INDEX('Comment flow'!$C$40:$C$46,MATCH(I833,'Comment flow'!$A$40:$A$46,0)),""))</f>
        <v/>
      </c>
      <c r="N833" s="46" t="str">
        <f aca="false">IF(B833="","",IF(OR(I833="",I833="Open: needs a decision",L833=""),"Open","Closed"))</f>
        <v/>
      </c>
      <c r="O833" s="46"/>
      <c r="P833" s="46" t="str">
        <f aca="false">IF(OR(B833="",I833&lt;&gt;"Save for a later revision"),"",IF(COUNTIF('Deferred edits'!$K$2:$K$201,A833)&gt;0,"Yes","● Add to Deferred edits"))</f>
        <v/>
      </c>
    </row>
    <row r="834" customFormat="false" ht="15" hidden="false" customHeight="false" outlineLevel="0" collapsed="false">
      <c r="A834" s="46" t="s">
        <v>1129</v>
      </c>
      <c r="B834" s="46"/>
      <c r="C834" s="46"/>
      <c r="D834" s="46"/>
      <c r="E834" s="46"/>
      <c r="F834" s="46"/>
      <c r="G834" s="46"/>
      <c r="H834" s="46"/>
      <c r="I834" s="46"/>
      <c r="J834" s="46"/>
      <c r="K834" s="46"/>
      <c r="L834" s="46"/>
      <c r="M834" s="46" t="str">
        <f aca="false">IF(OR(B834="",I834=""),"",IFERROR(INDEX('Comment flow'!$C$40:$C$46,MATCH(I834,'Comment flow'!$A$40:$A$46,0)),""))</f>
        <v/>
      </c>
      <c r="N834" s="46" t="str">
        <f aca="false">IF(B834="","",IF(OR(I834="",I834="Open: needs a decision",L834=""),"Open","Closed"))</f>
        <v/>
      </c>
      <c r="O834" s="46"/>
      <c r="P834" s="46" t="str">
        <f aca="false">IF(OR(B834="",I834&lt;&gt;"Save for a later revision"),"",IF(COUNTIF('Deferred edits'!$K$2:$K$201,A834)&gt;0,"Yes","● Add to Deferred edits"))</f>
        <v/>
      </c>
    </row>
    <row r="835" customFormat="false" ht="15" hidden="false" customHeight="false" outlineLevel="0" collapsed="false">
      <c r="A835" s="46" t="s">
        <v>1130</v>
      </c>
      <c r="B835" s="46"/>
      <c r="C835" s="46"/>
      <c r="D835" s="46"/>
      <c r="E835" s="46"/>
      <c r="F835" s="46"/>
      <c r="G835" s="46"/>
      <c r="H835" s="46"/>
      <c r="I835" s="46"/>
      <c r="J835" s="46"/>
      <c r="K835" s="46"/>
      <c r="L835" s="46"/>
      <c r="M835" s="46" t="str">
        <f aca="false">IF(OR(B835="",I835=""),"",IFERROR(INDEX('Comment flow'!$C$40:$C$46,MATCH(I835,'Comment flow'!$A$40:$A$46,0)),""))</f>
        <v/>
      </c>
      <c r="N835" s="46" t="str">
        <f aca="false">IF(B835="","",IF(OR(I835="",I835="Open: needs a decision",L835=""),"Open","Closed"))</f>
        <v/>
      </c>
      <c r="O835" s="46"/>
      <c r="P835" s="46" t="str">
        <f aca="false">IF(OR(B835="",I835&lt;&gt;"Save for a later revision"),"",IF(COUNTIF('Deferred edits'!$K$2:$K$201,A835)&gt;0,"Yes","● Add to Deferred edits"))</f>
        <v/>
      </c>
    </row>
    <row r="836" customFormat="false" ht="15" hidden="false" customHeight="false" outlineLevel="0" collapsed="false">
      <c r="A836" s="46" t="s">
        <v>1131</v>
      </c>
      <c r="B836" s="46"/>
      <c r="C836" s="46"/>
      <c r="D836" s="46"/>
      <c r="E836" s="46"/>
      <c r="F836" s="46"/>
      <c r="G836" s="46"/>
      <c r="H836" s="46"/>
      <c r="I836" s="46"/>
      <c r="J836" s="46"/>
      <c r="K836" s="46"/>
      <c r="L836" s="46"/>
      <c r="M836" s="46" t="str">
        <f aca="false">IF(OR(B836="",I836=""),"",IFERROR(INDEX('Comment flow'!$C$40:$C$46,MATCH(I836,'Comment flow'!$A$40:$A$46,0)),""))</f>
        <v/>
      </c>
      <c r="N836" s="46" t="str">
        <f aca="false">IF(B836="","",IF(OR(I836="",I836="Open: needs a decision",L836=""),"Open","Closed"))</f>
        <v/>
      </c>
      <c r="O836" s="46"/>
      <c r="P836" s="46" t="str">
        <f aca="false">IF(OR(B836="",I836&lt;&gt;"Save for a later revision"),"",IF(COUNTIF('Deferred edits'!$K$2:$K$201,A836)&gt;0,"Yes","● Add to Deferred edits"))</f>
        <v/>
      </c>
    </row>
    <row r="837" customFormat="false" ht="15" hidden="false" customHeight="false" outlineLevel="0" collapsed="false">
      <c r="A837" s="46" t="s">
        <v>1132</v>
      </c>
      <c r="B837" s="46"/>
      <c r="C837" s="46"/>
      <c r="D837" s="46"/>
      <c r="E837" s="46"/>
      <c r="F837" s="46"/>
      <c r="G837" s="46"/>
      <c r="H837" s="46"/>
      <c r="I837" s="46"/>
      <c r="J837" s="46"/>
      <c r="K837" s="46"/>
      <c r="L837" s="46"/>
      <c r="M837" s="46" t="str">
        <f aca="false">IF(OR(B837="",I837=""),"",IFERROR(INDEX('Comment flow'!$C$40:$C$46,MATCH(I837,'Comment flow'!$A$40:$A$46,0)),""))</f>
        <v/>
      </c>
      <c r="N837" s="46" t="str">
        <f aca="false">IF(B837="","",IF(OR(I837="",I837="Open: needs a decision",L837=""),"Open","Closed"))</f>
        <v/>
      </c>
      <c r="O837" s="46"/>
      <c r="P837" s="46" t="str">
        <f aca="false">IF(OR(B837="",I837&lt;&gt;"Save for a later revision"),"",IF(COUNTIF('Deferred edits'!$K$2:$K$201,A837)&gt;0,"Yes","● Add to Deferred edits"))</f>
        <v/>
      </c>
    </row>
    <row r="838" customFormat="false" ht="15" hidden="false" customHeight="false" outlineLevel="0" collapsed="false">
      <c r="A838" s="46" t="s">
        <v>1133</v>
      </c>
      <c r="B838" s="46"/>
      <c r="C838" s="46"/>
      <c r="D838" s="46"/>
      <c r="E838" s="46"/>
      <c r="F838" s="46"/>
      <c r="G838" s="46"/>
      <c r="H838" s="46"/>
      <c r="I838" s="46"/>
      <c r="J838" s="46"/>
      <c r="K838" s="46"/>
      <c r="L838" s="46"/>
      <c r="M838" s="46" t="str">
        <f aca="false">IF(OR(B838="",I838=""),"",IFERROR(INDEX('Comment flow'!$C$40:$C$46,MATCH(I838,'Comment flow'!$A$40:$A$46,0)),""))</f>
        <v/>
      </c>
      <c r="N838" s="46" t="str">
        <f aca="false">IF(B838="","",IF(OR(I838="",I838="Open: needs a decision",L838=""),"Open","Closed"))</f>
        <v/>
      </c>
      <c r="O838" s="46"/>
      <c r="P838" s="46" t="str">
        <f aca="false">IF(OR(B838="",I838&lt;&gt;"Save for a later revision"),"",IF(COUNTIF('Deferred edits'!$K$2:$K$201,A838)&gt;0,"Yes","● Add to Deferred edits"))</f>
        <v/>
      </c>
    </row>
    <row r="839" customFormat="false" ht="15" hidden="false" customHeight="false" outlineLevel="0" collapsed="false">
      <c r="A839" s="46" t="s">
        <v>1134</v>
      </c>
      <c r="B839" s="46"/>
      <c r="C839" s="46"/>
      <c r="D839" s="46"/>
      <c r="E839" s="46"/>
      <c r="F839" s="46"/>
      <c r="G839" s="46"/>
      <c r="H839" s="46"/>
      <c r="I839" s="46"/>
      <c r="J839" s="46"/>
      <c r="K839" s="46"/>
      <c r="L839" s="46"/>
      <c r="M839" s="46" t="str">
        <f aca="false">IF(OR(B839="",I839=""),"",IFERROR(INDEX('Comment flow'!$C$40:$C$46,MATCH(I839,'Comment flow'!$A$40:$A$46,0)),""))</f>
        <v/>
      </c>
      <c r="N839" s="46" t="str">
        <f aca="false">IF(B839="","",IF(OR(I839="",I839="Open: needs a decision",L839=""),"Open","Closed"))</f>
        <v/>
      </c>
      <c r="O839" s="46"/>
      <c r="P839" s="46" t="str">
        <f aca="false">IF(OR(B839="",I839&lt;&gt;"Save for a later revision"),"",IF(COUNTIF('Deferred edits'!$K$2:$K$201,A839)&gt;0,"Yes","● Add to Deferred edits"))</f>
        <v/>
      </c>
    </row>
    <row r="840" customFormat="false" ht="15" hidden="false" customHeight="false" outlineLevel="0" collapsed="false">
      <c r="A840" s="46" t="s">
        <v>1135</v>
      </c>
      <c r="B840" s="46"/>
      <c r="C840" s="46"/>
      <c r="D840" s="46"/>
      <c r="E840" s="46"/>
      <c r="F840" s="46"/>
      <c r="G840" s="46"/>
      <c r="H840" s="46"/>
      <c r="I840" s="46"/>
      <c r="J840" s="46"/>
      <c r="K840" s="46"/>
      <c r="L840" s="46"/>
      <c r="M840" s="46" t="str">
        <f aca="false">IF(OR(B840="",I840=""),"",IFERROR(INDEX('Comment flow'!$C$40:$C$46,MATCH(I840,'Comment flow'!$A$40:$A$46,0)),""))</f>
        <v/>
      </c>
      <c r="N840" s="46" t="str">
        <f aca="false">IF(B840="","",IF(OR(I840="",I840="Open: needs a decision",L840=""),"Open","Closed"))</f>
        <v/>
      </c>
      <c r="O840" s="46"/>
      <c r="P840" s="46" t="str">
        <f aca="false">IF(OR(B840="",I840&lt;&gt;"Save for a later revision"),"",IF(COUNTIF('Deferred edits'!$K$2:$K$201,A840)&gt;0,"Yes","● Add to Deferred edits"))</f>
        <v/>
      </c>
    </row>
    <row r="841" customFormat="false" ht="15" hidden="false" customHeight="false" outlineLevel="0" collapsed="false">
      <c r="A841" s="46" t="s">
        <v>1136</v>
      </c>
      <c r="B841" s="46"/>
      <c r="C841" s="46"/>
      <c r="D841" s="46"/>
      <c r="E841" s="46"/>
      <c r="F841" s="46"/>
      <c r="G841" s="46"/>
      <c r="H841" s="46"/>
      <c r="I841" s="46"/>
      <c r="J841" s="46"/>
      <c r="K841" s="46"/>
      <c r="L841" s="46"/>
      <c r="M841" s="46" t="str">
        <f aca="false">IF(OR(B841="",I841=""),"",IFERROR(INDEX('Comment flow'!$C$40:$C$46,MATCH(I841,'Comment flow'!$A$40:$A$46,0)),""))</f>
        <v/>
      </c>
      <c r="N841" s="46" t="str">
        <f aca="false">IF(B841="","",IF(OR(I841="",I841="Open: needs a decision",L841=""),"Open","Closed"))</f>
        <v/>
      </c>
      <c r="O841" s="46"/>
      <c r="P841" s="46" t="str">
        <f aca="false">IF(OR(B841="",I841&lt;&gt;"Save for a later revision"),"",IF(COUNTIF('Deferred edits'!$K$2:$K$201,A841)&gt;0,"Yes","● Add to Deferred edits"))</f>
        <v/>
      </c>
    </row>
    <row r="842" customFormat="false" ht="15" hidden="false" customHeight="false" outlineLevel="0" collapsed="false">
      <c r="A842" s="46" t="s">
        <v>1137</v>
      </c>
      <c r="B842" s="46"/>
      <c r="C842" s="46"/>
      <c r="D842" s="46"/>
      <c r="E842" s="46"/>
      <c r="F842" s="46"/>
      <c r="G842" s="46"/>
      <c r="H842" s="46"/>
      <c r="I842" s="46"/>
      <c r="J842" s="46"/>
      <c r="K842" s="46"/>
      <c r="L842" s="46"/>
      <c r="M842" s="46" t="str">
        <f aca="false">IF(OR(B842="",I842=""),"",IFERROR(INDEX('Comment flow'!$C$40:$C$46,MATCH(I842,'Comment flow'!$A$40:$A$46,0)),""))</f>
        <v/>
      </c>
      <c r="N842" s="46" t="str">
        <f aca="false">IF(B842="","",IF(OR(I842="",I842="Open: needs a decision",L842=""),"Open","Closed"))</f>
        <v/>
      </c>
      <c r="O842" s="46"/>
      <c r="P842" s="46" t="str">
        <f aca="false">IF(OR(B842="",I842&lt;&gt;"Save for a later revision"),"",IF(COUNTIF('Deferred edits'!$K$2:$K$201,A842)&gt;0,"Yes","● Add to Deferred edits"))</f>
        <v/>
      </c>
    </row>
    <row r="843" customFormat="false" ht="15" hidden="false" customHeight="false" outlineLevel="0" collapsed="false">
      <c r="A843" s="46" t="s">
        <v>1138</v>
      </c>
      <c r="B843" s="46"/>
      <c r="C843" s="46"/>
      <c r="D843" s="46"/>
      <c r="E843" s="46"/>
      <c r="F843" s="46"/>
      <c r="G843" s="46"/>
      <c r="H843" s="46"/>
      <c r="I843" s="46"/>
      <c r="J843" s="46"/>
      <c r="K843" s="46"/>
      <c r="L843" s="46"/>
      <c r="M843" s="46" t="str">
        <f aca="false">IF(OR(B843="",I843=""),"",IFERROR(INDEX('Comment flow'!$C$40:$C$46,MATCH(I843,'Comment flow'!$A$40:$A$46,0)),""))</f>
        <v/>
      </c>
      <c r="N843" s="46" t="str">
        <f aca="false">IF(B843="","",IF(OR(I843="",I843="Open: needs a decision",L843=""),"Open","Closed"))</f>
        <v/>
      </c>
      <c r="O843" s="46"/>
      <c r="P843" s="46" t="str">
        <f aca="false">IF(OR(B843="",I843&lt;&gt;"Save for a later revision"),"",IF(COUNTIF('Deferred edits'!$K$2:$K$201,A843)&gt;0,"Yes","● Add to Deferred edits"))</f>
        <v/>
      </c>
    </row>
    <row r="844" customFormat="false" ht="15" hidden="false" customHeight="false" outlineLevel="0" collapsed="false">
      <c r="A844" s="46" t="s">
        <v>1139</v>
      </c>
      <c r="B844" s="46"/>
      <c r="C844" s="46"/>
      <c r="D844" s="46"/>
      <c r="E844" s="46"/>
      <c r="F844" s="46"/>
      <c r="G844" s="46"/>
      <c r="H844" s="46"/>
      <c r="I844" s="46"/>
      <c r="J844" s="46"/>
      <c r="K844" s="46"/>
      <c r="L844" s="46"/>
      <c r="M844" s="46" t="str">
        <f aca="false">IF(OR(B844="",I844=""),"",IFERROR(INDEX('Comment flow'!$C$40:$C$46,MATCH(I844,'Comment flow'!$A$40:$A$46,0)),""))</f>
        <v/>
      </c>
      <c r="N844" s="46" t="str">
        <f aca="false">IF(B844="","",IF(OR(I844="",I844="Open: needs a decision",L844=""),"Open","Closed"))</f>
        <v/>
      </c>
      <c r="O844" s="46"/>
      <c r="P844" s="46" t="str">
        <f aca="false">IF(OR(B844="",I844&lt;&gt;"Save for a later revision"),"",IF(COUNTIF('Deferred edits'!$K$2:$K$201,A844)&gt;0,"Yes","● Add to Deferred edits"))</f>
        <v/>
      </c>
    </row>
    <row r="845" customFormat="false" ht="15" hidden="false" customHeight="false" outlineLevel="0" collapsed="false">
      <c r="A845" s="46" t="s">
        <v>1140</v>
      </c>
      <c r="B845" s="46"/>
      <c r="C845" s="46"/>
      <c r="D845" s="46"/>
      <c r="E845" s="46"/>
      <c r="F845" s="46"/>
      <c r="G845" s="46"/>
      <c r="H845" s="46"/>
      <c r="I845" s="46"/>
      <c r="J845" s="46"/>
      <c r="K845" s="46"/>
      <c r="L845" s="46"/>
      <c r="M845" s="46" t="str">
        <f aca="false">IF(OR(B845="",I845=""),"",IFERROR(INDEX('Comment flow'!$C$40:$C$46,MATCH(I845,'Comment flow'!$A$40:$A$46,0)),""))</f>
        <v/>
      </c>
      <c r="N845" s="46" t="str">
        <f aca="false">IF(B845="","",IF(OR(I845="",I845="Open: needs a decision",L845=""),"Open","Closed"))</f>
        <v/>
      </c>
      <c r="O845" s="46"/>
      <c r="P845" s="46" t="str">
        <f aca="false">IF(OR(B845="",I845&lt;&gt;"Save for a later revision"),"",IF(COUNTIF('Deferred edits'!$K$2:$K$201,A845)&gt;0,"Yes","● Add to Deferred edits"))</f>
        <v/>
      </c>
    </row>
    <row r="846" customFormat="false" ht="15" hidden="false" customHeight="false" outlineLevel="0" collapsed="false">
      <c r="A846" s="46" t="s">
        <v>1141</v>
      </c>
      <c r="B846" s="46"/>
      <c r="C846" s="46"/>
      <c r="D846" s="46"/>
      <c r="E846" s="46"/>
      <c r="F846" s="46"/>
      <c r="G846" s="46"/>
      <c r="H846" s="46"/>
      <c r="I846" s="46"/>
      <c r="J846" s="46"/>
      <c r="K846" s="46"/>
      <c r="L846" s="46"/>
      <c r="M846" s="46" t="str">
        <f aca="false">IF(OR(B846="",I846=""),"",IFERROR(INDEX('Comment flow'!$C$40:$C$46,MATCH(I846,'Comment flow'!$A$40:$A$46,0)),""))</f>
        <v/>
      </c>
      <c r="N846" s="46" t="str">
        <f aca="false">IF(B846="","",IF(OR(I846="",I846="Open: needs a decision",L846=""),"Open","Closed"))</f>
        <v/>
      </c>
      <c r="O846" s="46"/>
      <c r="P846" s="46" t="str">
        <f aca="false">IF(OR(B846="",I846&lt;&gt;"Save for a later revision"),"",IF(COUNTIF('Deferred edits'!$K$2:$K$201,A846)&gt;0,"Yes","● Add to Deferred edits"))</f>
        <v/>
      </c>
    </row>
    <row r="847" customFormat="false" ht="15" hidden="false" customHeight="false" outlineLevel="0" collapsed="false">
      <c r="A847" s="46" t="s">
        <v>1142</v>
      </c>
      <c r="B847" s="46"/>
      <c r="C847" s="46"/>
      <c r="D847" s="46"/>
      <c r="E847" s="46"/>
      <c r="F847" s="46"/>
      <c r="G847" s="46"/>
      <c r="H847" s="46"/>
      <c r="I847" s="46"/>
      <c r="J847" s="46"/>
      <c r="K847" s="46"/>
      <c r="L847" s="46"/>
      <c r="M847" s="46" t="str">
        <f aca="false">IF(OR(B847="",I847=""),"",IFERROR(INDEX('Comment flow'!$C$40:$C$46,MATCH(I847,'Comment flow'!$A$40:$A$46,0)),""))</f>
        <v/>
      </c>
      <c r="N847" s="46" t="str">
        <f aca="false">IF(B847="","",IF(OR(I847="",I847="Open: needs a decision",L847=""),"Open","Closed"))</f>
        <v/>
      </c>
      <c r="O847" s="46"/>
      <c r="P847" s="46" t="str">
        <f aca="false">IF(OR(B847="",I847&lt;&gt;"Save for a later revision"),"",IF(COUNTIF('Deferred edits'!$K$2:$K$201,A847)&gt;0,"Yes","● Add to Deferred edits"))</f>
        <v/>
      </c>
    </row>
    <row r="848" customFormat="false" ht="15" hidden="false" customHeight="false" outlineLevel="0" collapsed="false">
      <c r="A848" s="46" t="s">
        <v>1143</v>
      </c>
      <c r="B848" s="46"/>
      <c r="C848" s="46"/>
      <c r="D848" s="46"/>
      <c r="E848" s="46"/>
      <c r="F848" s="46"/>
      <c r="G848" s="46"/>
      <c r="H848" s="46"/>
      <c r="I848" s="46"/>
      <c r="J848" s="46"/>
      <c r="K848" s="46"/>
      <c r="L848" s="46"/>
      <c r="M848" s="46" t="str">
        <f aca="false">IF(OR(B848="",I848=""),"",IFERROR(INDEX('Comment flow'!$C$40:$C$46,MATCH(I848,'Comment flow'!$A$40:$A$46,0)),""))</f>
        <v/>
      </c>
      <c r="N848" s="46" t="str">
        <f aca="false">IF(B848="","",IF(OR(I848="",I848="Open: needs a decision",L848=""),"Open","Closed"))</f>
        <v/>
      </c>
      <c r="O848" s="46"/>
      <c r="P848" s="46" t="str">
        <f aca="false">IF(OR(B848="",I848&lt;&gt;"Save for a later revision"),"",IF(COUNTIF('Deferred edits'!$K$2:$K$201,A848)&gt;0,"Yes","● Add to Deferred edits"))</f>
        <v/>
      </c>
    </row>
    <row r="849" customFormat="false" ht="15" hidden="false" customHeight="false" outlineLevel="0" collapsed="false">
      <c r="A849" s="46" t="s">
        <v>1144</v>
      </c>
      <c r="B849" s="46"/>
      <c r="C849" s="46"/>
      <c r="D849" s="46"/>
      <c r="E849" s="46"/>
      <c r="F849" s="46"/>
      <c r="G849" s="46"/>
      <c r="H849" s="46"/>
      <c r="I849" s="46"/>
      <c r="J849" s="46"/>
      <c r="K849" s="46"/>
      <c r="L849" s="46"/>
      <c r="M849" s="46" t="str">
        <f aca="false">IF(OR(B849="",I849=""),"",IFERROR(INDEX('Comment flow'!$C$40:$C$46,MATCH(I849,'Comment flow'!$A$40:$A$46,0)),""))</f>
        <v/>
      </c>
      <c r="N849" s="46" t="str">
        <f aca="false">IF(B849="","",IF(OR(I849="",I849="Open: needs a decision",L849=""),"Open","Closed"))</f>
        <v/>
      </c>
      <c r="O849" s="46"/>
      <c r="P849" s="46" t="str">
        <f aca="false">IF(OR(B849="",I849&lt;&gt;"Save for a later revision"),"",IF(COUNTIF('Deferred edits'!$K$2:$K$201,A849)&gt;0,"Yes","● Add to Deferred edits"))</f>
        <v/>
      </c>
    </row>
    <row r="850" customFormat="false" ht="15" hidden="false" customHeight="false" outlineLevel="0" collapsed="false">
      <c r="A850" s="46" t="s">
        <v>1145</v>
      </c>
      <c r="B850" s="46"/>
      <c r="C850" s="46"/>
      <c r="D850" s="46"/>
      <c r="E850" s="46"/>
      <c r="F850" s="46"/>
      <c r="G850" s="46"/>
      <c r="H850" s="46"/>
      <c r="I850" s="46"/>
      <c r="J850" s="46"/>
      <c r="K850" s="46"/>
      <c r="L850" s="46"/>
      <c r="M850" s="46" t="str">
        <f aca="false">IF(OR(B850="",I850=""),"",IFERROR(INDEX('Comment flow'!$C$40:$C$46,MATCH(I850,'Comment flow'!$A$40:$A$46,0)),""))</f>
        <v/>
      </c>
      <c r="N850" s="46" t="str">
        <f aca="false">IF(B850="","",IF(OR(I850="",I850="Open: needs a decision",L850=""),"Open","Closed"))</f>
        <v/>
      </c>
      <c r="O850" s="46"/>
      <c r="P850" s="46" t="str">
        <f aca="false">IF(OR(B850="",I850&lt;&gt;"Save for a later revision"),"",IF(COUNTIF('Deferred edits'!$K$2:$K$201,A850)&gt;0,"Yes","● Add to Deferred edits"))</f>
        <v/>
      </c>
    </row>
    <row r="851" customFormat="false" ht="15" hidden="false" customHeight="false" outlineLevel="0" collapsed="false">
      <c r="A851" s="46" t="s">
        <v>1146</v>
      </c>
      <c r="B851" s="46"/>
      <c r="C851" s="46"/>
      <c r="D851" s="46"/>
      <c r="E851" s="46"/>
      <c r="F851" s="46"/>
      <c r="G851" s="46"/>
      <c r="H851" s="46"/>
      <c r="I851" s="46"/>
      <c r="J851" s="46"/>
      <c r="K851" s="46"/>
      <c r="L851" s="46"/>
      <c r="M851" s="46" t="str">
        <f aca="false">IF(OR(B851="",I851=""),"",IFERROR(INDEX('Comment flow'!$C$40:$C$46,MATCH(I851,'Comment flow'!$A$40:$A$46,0)),""))</f>
        <v/>
      </c>
      <c r="N851" s="46" t="str">
        <f aca="false">IF(B851="","",IF(OR(I851="",I851="Open: needs a decision",L851=""),"Open","Closed"))</f>
        <v/>
      </c>
      <c r="O851" s="46"/>
      <c r="P851" s="46" t="str">
        <f aca="false">IF(OR(B851="",I851&lt;&gt;"Save for a later revision"),"",IF(COUNTIF('Deferred edits'!$K$2:$K$201,A851)&gt;0,"Yes","● Add to Deferred edits"))</f>
        <v/>
      </c>
    </row>
    <row r="852" customFormat="false" ht="15" hidden="false" customHeight="false" outlineLevel="0" collapsed="false">
      <c r="A852" s="46" t="s">
        <v>1147</v>
      </c>
      <c r="B852" s="46"/>
      <c r="C852" s="46"/>
      <c r="D852" s="46"/>
      <c r="E852" s="46"/>
      <c r="F852" s="46"/>
      <c r="G852" s="46"/>
      <c r="H852" s="46"/>
      <c r="I852" s="46"/>
      <c r="J852" s="46"/>
      <c r="K852" s="46"/>
      <c r="L852" s="46"/>
      <c r="M852" s="46" t="str">
        <f aca="false">IF(OR(B852="",I852=""),"",IFERROR(INDEX('Comment flow'!$C$40:$C$46,MATCH(I852,'Comment flow'!$A$40:$A$46,0)),""))</f>
        <v/>
      </c>
      <c r="N852" s="46" t="str">
        <f aca="false">IF(B852="","",IF(OR(I852="",I852="Open: needs a decision",L852=""),"Open","Closed"))</f>
        <v/>
      </c>
      <c r="O852" s="46"/>
      <c r="P852" s="46" t="str">
        <f aca="false">IF(OR(B852="",I852&lt;&gt;"Save for a later revision"),"",IF(COUNTIF('Deferred edits'!$K$2:$K$201,A852)&gt;0,"Yes","● Add to Deferred edits"))</f>
        <v/>
      </c>
    </row>
    <row r="853" customFormat="false" ht="15" hidden="false" customHeight="false" outlineLevel="0" collapsed="false">
      <c r="A853" s="46" t="s">
        <v>1148</v>
      </c>
      <c r="B853" s="46"/>
      <c r="C853" s="46"/>
      <c r="D853" s="46"/>
      <c r="E853" s="46"/>
      <c r="F853" s="46"/>
      <c r="G853" s="46"/>
      <c r="H853" s="46"/>
      <c r="I853" s="46"/>
      <c r="J853" s="46"/>
      <c r="K853" s="46"/>
      <c r="L853" s="46"/>
      <c r="M853" s="46" t="str">
        <f aca="false">IF(OR(B853="",I853=""),"",IFERROR(INDEX('Comment flow'!$C$40:$C$46,MATCH(I853,'Comment flow'!$A$40:$A$46,0)),""))</f>
        <v/>
      </c>
      <c r="N853" s="46" t="str">
        <f aca="false">IF(B853="","",IF(OR(I853="",I853="Open: needs a decision",L853=""),"Open","Closed"))</f>
        <v/>
      </c>
      <c r="O853" s="46"/>
      <c r="P853" s="46" t="str">
        <f aca="false">IF(OR(B853="",I853&lt;&gt;"Save for a later revision"),"",IF(COUNTIF('Deferred edits'!$K$2:$K$201,A853)&gt;0,"Yes","● Add to Deferred edits"))</f>
        <v/>
      </c>
    </row>
    <row r="854" customFormat="false" ht="15" hidden="false" customHeight="false" outlineLevel="0" collapsed="false">
      <c r="A854" s="46" t="s">
        <v>1149</v>
      </c>
      <c r="B854" s="46"/>
      <c r="C854" s="46"/>
      <c r="D854" s="46"/>
      <c r="E854" s="46"/>
      <c r="F854" s="46"/>
      <c r="G854" s="46"/>
      <c r="H854" s="46"/>
      <c r="I854" s="46"/>
      <c r="J854" s="46"/>
      <c r="K854" s="46"/>
      <c r="L854" s="46"/>
      <c r="M854" s="46" t="str">
        <f aca="false">IF(OR(B854="",I854=""),"",IFERROR(INDEX('Comment flow'!$C$40:$C$46,MATCH(I854,'Comment flow'!$A$40:$A$46,0)),""))</f>
        <v/>
      </c>
      <c r="N854" s="46" t="str">
        <f aca="false">IF(B854="","",IF(OR(I854="",I854="Open: needs a decision",L854=""),"Open","Closed"))</f>
        <v/>
      </c>
      <c r="O854" s="46"/>
      <c r="P854" s="46" t="str">
        <f aca="false">IF(OR(B854="",I854&lt;&gt;"Save for a later revision"),"",IF(COUNTIF('Deferred edits'!$K$2:$K$201,A854)&gt;0,"Yes","● Add to Deferred edits"))</f>
        <v/>
      </c>
    </row>
    <row r="855" customFormat="false" ht="15" hidden="false" customHeight="false" outlineLevel="0" collapsed="false">
      <c r="A855" s="46" t="s">
        <v>1150</v>
      </c>
      <c r="B855" s="46"/>
      <c r="C855" s="46"/>
      <c r="D855" s="46"/>
      <c r="E855" s="46"/>
      <c r="F855" s="46"/>
      <c r="G855" s="46"/>
      <c r="H855" s="46"/>
      <c r="I855" s="46"/>
      <c r="J855" s="46"/>
      <c r="K855" s="46"/>
      <c r="L855" s="46"/>
      <c r="M855" s="46" t="str">
        <f aca="false">IF(OR(B855="",I855=""),"",IFERROR(INDEX('Comment flow'!$C$40:$C$46,MATCH(I855,'Comment flow'!$A$40:$A$46,0)),""))</f>
        <v/>
      </c>
      <c r="N855" s="46" t="str">
        <f aca="false">IF(B855="","",IF(OR(I855="",I855="Open: needs a decision",L855=""),"Open","Closed"))</f>
        <v/>
      </c>
      <c r="O855" s="46"/>
      <c r="P855" s="46" t="str">
        <f aca="false">IF(OR(B855="",I855&lt;&gt;"Save for a later revision"),"",IF(COUNTIF('Deferred edits'!$K$2:$K$201,A855)&gt;0,"Yes","● Add to Deferred edits"))</f>
        <v/>
      </c>
    </row>
    <row r="856" customFormat="false" ht="15" hidden="false" customHeight="false" outlineLevel="0" collapsed="false">
      <c r="A856" s="46" t="s">
        <v>1151</v>
      </c>
      <c r="B856" s="46"/>
      <c r="C856" s="46"/>
      <c r="D856" s="46"/>
      <c r="E856" s="46"/>
      <c r="F856" s="46"/>
      <c r="G856" s="46"/>
      <c r="H856" s="46"/>
      <c r="I856" s="46"/>
      <c r="J856" s="46"/>
      <c r="K856" s="46"/>
      <c r="L856" s="46"/>
      <c r="M856" s="46" t="str">
        <f aca="false">IF(OR(B856="",I856=""),"",IFERROR(INDEX('Comment flow'!$C$40:$C$46,MATCH(I856,'Comment flow'!$A$40:$A$46,0)),""))</f>
        <v/>
      </c>
      <c r="N856" s="46" t="str">
        <f aca="false">IF(B856="","",IF(OR(I856="",I856="Open: needs a decision",L856=""),"Open","Closed"))</f>
        <v/>
      </c>
      <c r="O856" s="46"/>
      <c r="P856" s="46" t="str">
        <f aca="false">IF(OR(B856="",I856&lt;&gt;"Save for a later revision"),"",IF(COUNTIF('Deferred edits'!$K$2:$K$201,A856)&gt;0,"Yes","● Add to Deferred edits"))</f>
        <v/>
      </c>
    </row>
    <row r="857" customFormat="false" ht="15" hidden="false" customHeight="false" outlineLevel="0" collapsed="false">
      <c r="A857" s="46" t="s">
        <v>1152</v>
      </c>
      <c r="B857" s="46"/>
      <c r="C857" s="46"/>
      <c r="D857" s="46"/>
      <c r="E857" s="46"/>
      <c r="F857" s="46"/>
      <c r="G857" s="46"/>
      <c r="H857" s="46"/>
      <c r="I857" s="46"/>
      <c r="J857" s="46"/>
      <c r="K857" s="46"/>
      <c r="L857" s="46"/>
      <c r="M857" s="46" t="str">
        <f aca="false">IF(OR(B857="",I857=""),"",IFERROR(INDEX('Comment flow'!$C$40:$C$46,MATCH(I857,'Comment flow'!$A$40:$A$46,0)),""))</f>
        <v/>
      </c>
      <c r="N857" s="46" t="str">
        <f aca="false">IF(B857="","",IF(OR(I857="",I857="Open: needs a decision",L857=""),"Open","Closed"))</f>
        <v/>
      </c>
      <c r="O857" s="46"/>
      <c r="P857" s="46" t="str">
        <f aca="false">IF(OR(B857="",I857&lt;&gt;"Save for a later revision"),"",IF(COUNTIF('Deferred edits'!$K$2:$K$201,A857)&gt;0,"Yes","● Add to Deferred edits"))</f>
        <v/>
      </c>
    </row>
    <row r="858" customFormat="false" ht="15" hidden="false" customHeight="false" outlineLevel="0" collapsed="false">
      <c r="A858" s="46" t="s">
        <v>1153</v>
      </c>
      <c r="B858" s="46"/>
      <c r="C858" s="46"/>
      <c r="D858" s="46"/>
      <c r="E858" s="46"/>
      <c r="F858" s="46"/>
      <c r="G858" s="46"/>
      <c r="H858" s="46"/>
      <c r="I858" s="46"/>
      <c r="J858" s="46"/>
      <c r="K858" s="46"/>
      <c r="L858" s="46"/>
      <c r="M858" s="46" t="str">
        <f aca="false">IF(OR(B858="",I858=""),"",IFERROR(INDEX('Comment flow'!$C$40:$C$46,MATCH(I858,'Comment flow'!$A$40:$A$46,0)),""))</f>
        <v/>
      </c>
      <c r="N858" s="46" t="str">
        <f aca="false">IF(B858="","",IF(OR(I858="",I858="Open: needs a decision",L858=""),"Open","Closed"))</f>
        <v/>
      </c>
      <c r="O858" s="46"/>
      <c r="P858" s="46" t="str">
        <f aca="false">IF(OR(B858="",I858&lt;&gt;"Save for a later revision"),"",IF(COUNTIF('Deferred edits'!$K$2:$K$201,A858)&gt;0,"Yes","● Add to Deferred edits"))</f>
        <v/>
      </c>
    </row>
    <row r="859" customFormat="false" ht="15" hidden="false" customHeight="false" outlineLevel="0" collapsed="false">
      <c r="A859" s="46" t="s">
        <v>1154</v>
      </c>
      <c r="B859" s="46"/>
      <c r="C859" s="46"/>
      <c r="D859" s="46"/>
      <c r="E859" s="46"/>
      <c r="F859" s="46"/>
      <c r="G859" s="46"/>
      <c r="H859" s="46"/>
      <c r="I859" s="46"/>
      <c r="J859" s="46"/>
      <c r="K859" s="46"/>
      <c r="L859" s="46"/>
      <c r="M859" s="46" t="str">
        <f aca="false">IF(OR(B859="",I859=""),"",IFERROR(INDEX('Comment flow'!$C$40:$C$46,MATCH(I859,'Comment flow'!$A$40:$A$46,0)),""))</f>
        <v/>
      </c>
      <c r="N859" s="46" t="str">
        <f aca="false">IF(B859="","",IF(OR(I859="",I859="Open: needs a decision",L859=""),"Open","Closed"))</f>
        <v/>
      </c>
      <c r="O859" s="46"/>
      <c r="P859" s="46" t="str">
        <f aca="false">IF(OR(B859="",I859&lt;&gt;"Save for a later revision"),"",IF(COUNTIF('Deferred edits'!$K$2:$K$201,A859)&gt;0,"Yes","● Add to Deferred edits"))</f>
        <v/>
      </c>
    </row>
    <row r="860" customFormat="false" ht="15" hidden="false" customHeight="false" outlineLevel="0" collapsed="false">
      <c r="A860" s="46" t="s">
        <v>1155</v>
      </c>
      <c r="B860" s="46"/>
      <c r="C860" s="46"/>
      <c r="D860" s="46"/>
      <c r="E860" s="46"/>
      <c r="F860" s="46"/>
      <c r="G860" s="46"/>
      <c r="H860" s="46"/>
      <c r="I860" s="46"/>
      <c r="J860" s="46"/>
      <c r="K860" s="46"/>
      <c r="L860" s="46"/>
      <c r="M860" s="46" t="str">
        <f aca="false">IF(OR(B860="",I860=""),"",IFERROR(INDEX('Comment flow'!$C$40:$C$46,MATCH(I860,'Comment flow'!$A$40:$A$46,0)),""))</f>
        <v/>
      </c>
      <c r="N860" s="46" t="str">
        <f aca="false">IF(B860="","",IF(OR(I860="",I860="Open: needs a decision",L860=""),"Open","Closed"))</f>
        <v/>
      </c>
      <c r="O860" s="46"/>
      <c r="P860" s="46" t="str">
        <f aca="false">IF(OR(B860="",I860&lt;&gt;"Save for a later revision"),"",IF(COUNTIF('Deferred edits'!$K$2:$K$201,A860)&gt;0,"Yes","● Add to Deferred edits"))</f>
        <v/>
      </c>
    </row>
    <row r="861" customFormat="false" ht="15" hidden="false" customHeight="false" outlineLevel="0" collapsed="false">
      <c r="A861" s="46" t="s">
        <v>1156</v>
      </c>
      <c r="B861" s="46"/>
      <c r="C861" s="46"/>
      <c r="D861" s="46"/>
      <c r="E861" s="46"/>
      <c r="F861" s="46"/>
      <c r="G861" s="46"/>
      <c r="H861" s="46"/>
      <c r="I861" s="46"/>
      <c r="J861" s="46"/>
      <c r="K861" s="46"/>
      <c r="L861" s="46"/>
      <c r="M861" s="46" t="str">
        <f aca="false">IF(OR(B861="",I861=""),"",IFERROR(INDEX('Comment flow'!$C$40:$C$46,MATCH(I861,'Comment flow'!$A$40:$A$46,0)),""))</f>
        <v/>
      </c>
      <c r="N861" s="46" t="str">
        <f aca="false">IF(B861="","",IF(OR(I861="",I861="Open: needs a decision",L861=""),"Open","Closed"))</f>
        <v/>
      </c>
      <c r="O861" s="46"/>
      <c r="P861" s="46" t="str">
        <f aca="false">IF(OR(B861="",I861&lt;&gt;"Save for a later revision"),"",IF(COUNTIF('Deferred edits'!$K$2:$K$201,A861)&gt;0,"Yes","● Add to Deferred edits"))</f>
        <v/>
      </c>
    </row>
    <row r="862" customFormat="false" ht="15" hidden="false" customHeight="false" outlineLevel="0" collapsed="false">
      <c r="A862" s="46" t="s">
        <v>1157</v>
      </c>
      <c r="B862" s="46"/>
      <c r="C862" s="46"/>
      <c r="D862" s="46"/>
      <c r="E862" s="46"/>
      <c r="F862" s="46"/>
      <c r="G862" s="46"/>
      <c r="H862" s="46"/>
      <c r="I862" s="46"/>
      <c r="J862" s="46"/>
      <c r="K862" s="46"/>
      <c r="L862" s="46"/>
      <c r="M862" s="46" t="str">
        <f aca="false">IF(OR(B862="",I862=""),"",IFERROR(INDEX('Comment flow'!$C$40:$C$46,MATCH(I862,'Comment flow'!$A$40:$A$46,0)),""))</f>
        <v/>
      </c>
      <c r="N862" s="46" t="str">
        <f aca="false">IF(B862="","",IF(OR(I862="",I862="Open: needs a decision",L862=""),"Open","Closed"))</f>
        <v/>
      </c>
      <c r="O862" s="46"/>
      <c r="P862" s="46" t="str">
        <f aca="false">IF(OR(B862="",I862&lt;&gt;"Save for a later revision"),"",IF(COUNTIF('Deferred edits'!$K$2:$K$201,A862)&gt;0,"Yes","● Add to Deferred edits"))</f>
        <v/>
      </c>
    </row>
    <row r="863" customFormat="false" ht="15" hidden="false" customHeight="false" outlineLevel="0" collapsed="false">
      <c r="A863" s="46" t="s">
        <v>1158</v>
      </c>
      <c r="B863" s="46"/>
      <c r="C863" s="46"/>
      <c r="D863" s="46"/>
      <c r="E863" s="46"/>
      <c r="F863" s="46"/>
      <c r="G863" s="46"/>
      <c r="H863" s="46"/>
      <c r="I863" s="46"/>
      <c r="J863" s="46"/>
      <c r="K863" s="46"/>
      <c r="L863" s="46"/>
      <c r="M863" s="46" t="str">
        <f aca="false">IF(OR(B863="",I863=""),"",IFERROR(INDEX('Comment flow'!$C$40:$C$46,MATCH(I863,'Comment flow'!$A$40:$A$46,0)),""))</f>
        <v/>
      </c>
      <c r="N863" s="46" t="str">
        <f aca="false">IF(B863="","",IF(OR(I863="",I863="Open: needs a decision",L863=""),"Open","Closed"))</f>
        <v/>
      </c>
      <c r="O863" s="46"/>
      <c r="P863" s="46" t="str">
        <f aca="false">IF(OR(B863="",I863&lt;&gt;"Save for a later revision"),"",IF(COUNTIF('Deferred edits'!$K$2:$K$201,A863)&gt;0,"Yes","● Add to Deferred edits"))</f>
        <v/>
      </c>
    </row>
    <row r="864" customFormat="false" ht="15" hidden="false" customHeight="false" outlineLevel="0" collapsed="false">
      <c r="A864" s="46" t="s">
        <v>1159</v>
      </c>
      <c r="B864" s="46"/>
      <c r="C864" s="46"/>
      <c r="D864" s="46"/>
      <c r="E864" s="46"/>
      <c r="F864" s="46"/>
      <c r="G864" s="46"/>
      <c r="H864" s="46"/>
      <c r="I864" s="46"/>
      <c r="J864" s="46"/>
      <c r="K864" s="46"/>
      <c r="L864" s="46"/>
      <c r="M864" s="46" t="str">
        <f aca="false">IF(OR(B864="",I864=""),"",IFERROR(INDEX('Comment flow'!$C$40:$C$46,MATCH(I864,'Comment flow'!$A$40:$A$46,0)),""))</f>
        <v/>
      </c>
      <c r="N864" s="46" t="str">
        <f aca="false">IF(B864="","",IF(OR(I864="",I864="Open: needs a decision",L864=""),"Open","Closed"))</f>
        <v/>
      </c>
      <c r="O864" s="46"/>
      <c r="P864" s="46" t="str">
        <f aca="false">IF(OR(B864="",I864&lt;&gt;"Save for a later revision"),"",IF(COUNTIF('Deferred edits'!$K$2:$K$201,A864)&gt;0,"Yes","● Add to Deferred edits"))</f>
        <v/>
      </c>
    </row>
    <row r="865" customFormat="false" ht="15" hidden="false" customHeight="false" outlineLevel="0" collapsed="false">
      <c r="A865" s="46" t="s">
        <v>1160</v>
      </c>
      <c r="B865" s="46"/>
      <c r="C865" s="46"/>
      <c r="D865" s="46"/>
      <c r="E865" s="46"/>
      <c r="F865" s="46"/>
      <c r="G865" s="46"/>
      <c r="H865" s="46"/>
      <c r="I865" s="46"/>
      <c r="J865" s="46"/>
      <c r="K865" s="46"/>
      <c r="L865" s="46"/>
      <c r="M865" s="46" t="str">
        <f aca="false">IF(OR(B865="",I865=""),"",IFERROR(INDEX('Comment flow'!$C$40:$C$46,MATCH(I865,'Comment flow'!$A$40:$A$46,0)),""))</f>
        <v/>
      </c>
      <c r="N865" s="46" t="str">
        <f aca="false">IF(B865="","",IF(OR(I865="",I865="Open: needs a decision",L865=""),"Open","Closed"))</f>
        <v/>
      </c>
      <c r="O865" s="46"/>
      <c r="P865" s="46" t="str">
        <f aca="false">IF(OR(B865="",I865&lt;&gt;"Save for a later revision"),"",IF(COUNTIF('Deferred edits'!$K$2:$K$201,A865)&gt;0,"Yes","● Add to Deferred edits"))</f>
        <v/>
      </c>
    </row>
    <row r="866" customFormat="false" ht="15" hidden="false" customHeight="false" outlineLevel="0" collapsed="false">
      <c r="A866" s="46" t="s">
        <v>1161</v>
      </c>
      <c r="B866" s="46"/>
      <c r="C866" s="46"/>
      <c r="D866" s="46"/>
      <c r="E866" s="46"/>
      <c r="F866" s="46"/>
      <c r="G866" s="46"/>
      <c r="H866" s="46"/>
      <c r="I866" s="46"/>
      <c r="J866" s="46"/>
      <c r="K866" s="46"/>
      <c r="L866" s="46"/>
      <c r="M866" s="46" t="str">
        <f aca="false">IF(OR(B866="",I866=""),"",IFERROR(INDEX('Comment flow'!$C$40:$C$46,MATCH(I866,'Comment flow'!$A$40:$A$46,0)),""))</f>
        <v/>
      </c>
      <c r="N866" s="46" t="str">
        <f aca="false">IF(B866="","",IF(OR(I866="",I866="Open: needs a decision",L866=""),"Open","Closed"))</f>
        <v/>
      </c>
      <c r="O866" s="46"/>
      <c r="P866" s="46" t="str">
        <f aca="false">IF(OR(B866="",I866&lt;&gt;"Save for a later revision"),"",IF(COUNTIF('Deferred edits'!$K$2:$K$201,A866)&gt;0,"Yes","● Add to Deferred edits"))</f>
        <v/>
      </c>
    </row>
    <row r="867" customFormat="false" ht="15" hidden="false" customHeight="false" outlineLevel="0" collapsed="false">
      <c r="A867" s="46" t="s">
        <v>1162</v>
      </c>
      <c r="B867" s="46"/>
      <c r="C867" s="46"/>
      <c r="D867" s="46"/>
      <c r="E867" s="46"/>
      <c r="F867" s="46"/>
      <c r="G867" s="46"/>
      <c r="H867" s="46"/>
      <c r="I867" s="46"/>
      <c r="J867" s="46"/>
      <c r="K867" s="46"/>
      <c r="L867" s="46"/>
      <c r="M867" s="46" t="str">
        <f aca="false">IF(OR(B867="",I867=""),"",IFERROR(INDEX('Comment flow'!$C$40:$C$46,MATCH(I867,'Comment flow'!$A$40:$A$46,0)),""))</f>
        <v/>
      </c>
      <c r="N867" s="46" t="str">
        <f aca="false">IF(B867="","",IF(OR(I867="",I867="Open: needs a decision",L867=""),"Open","Closed"))</f>
        <v/>
      </c>
      <c r="O867" s="46"/>
      <c r="P867" s="46" t="str">
        <f aca="false">IF(OR(B867="",I867&lt;&gt;"Save for a later revision"),"",IF(COUNTIF('Deferred edits'!$K$2:$K$201,A867)&gt;0,"Yes","● Add to Deferred edits"))</f>
        <v/>
      </c>
    </row>
    <row r="868" customFormat="false" ht="15" hidden="false" customHeight="false" outlineLevel="0" collapsed="false">
      <c r="A868" s="46" t="s">
        <v>1163</v>
      </c>
      <c r="B868" s="46"/>
      <c r="C868" s="46"/>
      <c r="D868" s="46"/>
      <c r="E868" s="46"/>
      <c r="F868" s="46"/>
      <c r="G868" s="46"/>
      <c r="H868" s="46"/>
      <c r="I868" s="46"/>
      <c r="J868" s="46"/>
      <c r="K868" s="46"/>
      <c r="L868" s="46"/>
      <c r="M868" s="46" t="str">
        <f aca="false">IF(OR(B868="",I868=""),"",IFERROR(INDEX('Comment flow'!$C$40:$C$46,MATCH(I868,'Comment flow'!$A$40:$A$46,0)),""))</f>
        <v/>
      </c>
      <c r="N868" s="46" t="str">
        <f aca="false">IF(B868="","",IF(OR(I868="",I868="Open: needs a decision",L868=""),"Open","Closed"))</f>
        <v/>
      </c>
      <c r="O868" s="46"/>
      <c r="P868" s="46" t="str">
        <f aca="false">IF(OR(B868="",I868&lt;&gt;"Save for a later revision"),"",IF(COUNTIF('Deferred edits'!$K$2:$K$201,A868)&gt;0,"Yes","● Add to Deferred edits"))</f>
        <v/>
      </c>
    </row>
    <row r="869" customFormat="false" ht="15" hidden="false" customHeight="false" outlineLevel="0" collapsed="false">
      <c r="A869" s="46" t="s">
        <v>1164</v>
      </c>
      <c r="B869" s="46"/>
      <c r="C869" s="46"/>
      <c r="D869" s="46"/>
      <c r="E869" s="46"/>
      <c r="F869" s="46"/>
      <c r="G869" s="46"/>
      <c r="H869" s="46"/>
      <c r="I869" s="46"/>
      <c r="J869" s="46"/>
      <c r="K869" s="46"/>
      <c r="L869" s="46"/>
      <c r="M869" s="46" t="str">
        <f aca="false">IF(OR(B869="",I869=""),"",IFERROR(INDEX('Comment flow'!$C$40:$C$46,MATCH(I869,'Comment flow'!$A$40:$A$46,0)),""))</f>
        <v/>
      </c>
      <c r="N869" s="46" t="str">
        <f aca="false">IF(B869="","",IF(OR(I869="",I869="Open: needs a decision",L869=""),"Open","Closed"))</f>
        <v/>
      </c>
      <c r="O869" s="46"/>
      <c r="P869" s="46" t="str">
        <f aca="false">IF(OR(B869="",I869&lt;&gt;"Save for a later revision"),"",IF(COUNTIF('Deferred edits'!$K$2:$K$201,A869)&gt;0,"Yes","● Add to Deferred edits"))</f>
        <v/>
      </c>
    </row>
    <row r="870" customFormat="false" ht="15" hidden="false" customHeight="false" outlineLevel="0" collapsed="false">
      <c r="A870" s="46" t="s">
        <v>1165</v>
      </c>
      <c r="B870" s="46"/>
      <c r="C870" s="46"/>
      <c r="D870" s="46"/>
      <c r="E870" s="46"/>
      <c r="F870" s="46"/>
      <c r="G870" s="46"/>
      <c r="H870" s="46"/>
      <c r="I870" s="46"/>
      <c r="J870" s="46"/>
      <c r="K870" s="46"/>
      <c r="L870" s="46"/>
      <c r="M870" s="46" t="str">
        <f aca="false">IF(OR(B870="",I870=""),"",IFERROR(INDEX('Comment flow'!$C$40:$C$46,MATCH(I870,'Comment flow'!$A$40:$A$46,0)),""))</f>
        <v/>
      </c>
      <c r="N870" s="46" t="str">
        <f aca="false">IF(B870="","",IF(OR(I870="",I870="Open: needs a decision",L870=""),"Open","Closed"))</f>
        <v/>
      </c>
      <c r="O870" s="46"/>
      <c r="P870" s="46" t="str">
        <f aca="false">IF(OR(B870="",I870&lt;&gt;"Save for a later revision"),"",IF(COUNTIF('Deferred edits'!$K$2:$K$201,A870)&gt;0,"Yes","● Add to Deferred edits"))</f>
        <v/>
      </c>
    </row>
    <row r="871" customFormat="false" ht="15" hidden="false" customHeight="false" outlineLevel="0" collapsed="false">
      <c r="A871" s="46" t="s">
        <v>1166</v>
      </c>
      <c r="B871" s="46"/>
      <c r="C871" s="46"/>
      <c r="D871" s="46"/>
      <c r="E871" s="46"/>
      <c r="F871" s="46"/>
      <c r="G871" s="46"/>
      <c r="H871" s="46"/>
      <c r="I871" s="46"/>
      <c r="J871" s="46"/>
      <c r="K871" s="46"/>
      <c r="L871" s="46"/>
      <c r="M871" s="46" t="str">
        <f aca="false">IF(OR(B871="",I871=""),"",IFERROR(INDEX('Comment flow'!$C$40:$C$46,MATCH(I871,'Comment flow'!$A$40:$A$46,0)),""))</f>
        <v/>
      </c>
      <c r="N871" s="46" t="str">
        <f aca="false">IF(B871="","",IF(OR(I871="",I871="Open: needs a decision",L871=""),"Open","Closed"))</f>
        <v/>
      </c>
      <c r="O871" s="46"/>
      <c r="P871" s="46" t="str">
        <f aca="false">IF(OR(B871="",I871&lt;&gt;"Save for a later revision"),"",IF(COUNTIF('Deferred edits'!$K$2:$K$201,A871)&gt;0,"Yes","● Add to Deferred edits"))</f>
        <v/>
      </c>
    </row>
    <row r="872" customFormat="false" ht="15" hidden="false" customHeight="false" outlineLevel="0" collapsed="false">
      <c r="A872" s="46" t="s">
        <v>1167</v>
      </c>
      <c r="B872" s="46"/>
      <c r="C872" s="46"/>
      <c r="D872" s="46"/>
      <c r="E872" s="46"/>
      <c r="F872" s="46"/>
      <c r="G872" s="46"/>
      <c r="H872" s="46"/>
      <c r="I872" s="46"/>
      <c r="J872" s="46"/>
      <c r="K872" s="46"/>
      <c r="L872" s="46"/>
      <c r="M872" s="46" t="str">
        <f aca="false">IF(OR(B872="",I872=""),"",IFERROR(INDEX('Comment flow'!$C$40:$C$46,MATCH(I872,'Comment flow'!$A$40:$A$46,0)),""))</f>
        <v/>
      </c>
      <c r="N872" s="46" t="str">
        <f aca="false">IF(B872="","",IF(OR(I872="",I872="Open: needs a decision",L872=""),"Open","Closed"))</f>
        <v/>
      </c>
      <c r="O872" s="46"/>
      <c r="P872" s="46" t="str">
        <f aca="false">IF(OR(B872="",I872&lt;&gt;"Save for a later revision"),"",IF(COUNTIF('Deferred edits'!$K$2:$K$201,A872)&gt;0,"Yes","● Add to Deferred edits"))</f>
        <v/>
      </c>
    </row>
    <row r="873" customFormat="false" ht="15" hidden="false" customHeight="false" outlineLevel="0" collapsed="false">
      <c r="A873" s="46" t="s">
        <v>1168</v>
      </c>
      <c r="B873" s="46"/>
      <c r="C873" s="46"/>
      <c r="D873" s="46"/>
      <c r="E873" s="46"/>
      <c r="F873" s="46"/>
      <c r="G873" s="46"/>
      <c r="H873" s="46"/>
      <c r="I873" s="46"/>
      <c r="J873" s="46"/>
      <c r="K873" s="46"/>
      <c r="L873" s="46"/>
      <c r="M873" s="46" t="str">
        <f aca="false">IF(OR(B873="",I873=""),"",IFERROR(INDEX('Comment flow'!$C$40:$C$46,MATCH(I873,'Comment flow'!$A$40:$A$46,0)),""))</f>
        <v/>
      </c>
      <c r="N873" s="46" t="str">
        <f aca="false">IF(B873="","",IF(OR(I873="",I873="Open: needs a decision",L873=""),"Open","Closed"))</f>
        <v/>
      </c>
      <c r="O873" s="46"/>
      <c r="P873" s="46" t="str">
        <f aca="false">IF(OR(B873="",I873&lt;&gt;"Save for a later revision"),"",IF(COUNTIF('Deferred edits'!$K$2:$K$201,A873)&gt;0,"Yes","● Add to Deferred edits"))</f>
        <v/>
      </c>
    </row>
    <row r="874" customFormat="false" ht="15" hidden="false" customHeight="false" outlineLevel="0" collapsed="false">
      <c r="A874" s="46" t="s">
        <v>1169</v>
      </c>
      <c r="B874" s="46"/>
      <c r="C874" s="46"/>
      <c r="D874" s="46"/>
      <c r="E874" s="46"/>
      <c r="F874" s="46"/>
      <c r="G874" s="46"/>
      <c r="H874" s="46"/>
      <c r="I874" s="46"/>
      <c r="J874" s="46"/>
      <c r="K874" s="46"/>
      <c r="L874" s="46"/>
      <c r="M874" s="46" t="str">
        <f aca="false">IF(OR(B874="",I874=""),"",IFERROR(INDEX('Comment flow'!$C$40:$C$46,MATCH(I874,'Comment flow'!$A$40:$A$46,0)),""))</f>
        <v/>
      </c>
      <c r="N874" s="46" t="str">
        <f aca="false">IF(B874="","",IF(OR(I874="",I874="Open: needs a decision",L874=""),"Open","Closed"))</f>
        <v/>
      </c>
      <c r="O874" s="46"/>
      <c r="P874" s="46" t="str">
        <f aca="false">IF(OR(B874="",I874&lt;&gt;"Save for a later revision"),"",IF(COUNTIF('Deferred edits'!$K$2:$K$201,A874)&gt;0,"Yes","● Add to Deferred edits"))</f>
        <v/>
      </c>
    </row>
    <row r="875" customFormat="false" ht="15" hidden="false" customHeight="false" outlineLevel="0" collapsed="false">
      <c r="A875" s="46" t="s">
        <v>1170</v>
      </c>
      <c r="B875" s="46"/>
      <c r="C875" s="46"/>
      <c r="D875" s="46"/>
      <c r="E875" s="46"/>
      <c r="F875" s="46"/>
      <c r="G875" s="46"/>
      <c r="H875" s="46"/>
      <c r="I875" s="46"/>
      <c r="J875" s="46"/>
      <c r="K875" s="46"/>
      <c r="L875" s="46"/>
      <c r="M875" s="46" t="str">
        <f aca="false">IF(OR(B875="",I875=""),"",IFERROR(INDEX('Comment flow'!$C$40:$C$46,MATCH(I875,'Comment flow'!$A$40:$A$46,0)),""))</f>
        <v/>
      </c>
      <c r="N875" s="46" t="str">
        <f aca="false">IF(B875="","",IF(OR(I875="",I875="Open: needs a decision",L875=""),"Open","Closed"))</f>
        <v/>
      </c>
      <c r="O875" s="46"/>
      <c r="P875" s="46" t="str">
        <f aca="false">IF(OR(B875="",I875&lt;&gt;"Save for a later revision"),"",IF(COUNTIF('Deferred edits'!$K$2:$K$201,A875)&gt;0,"Yes","● Add to Deferred edits"))</f>
        <v/>
      </c>
    </row>
    <row r="876" customFormat="false" ht="15" hidden="false" customHeight="false" outlineLevel="0" collapsed="false">
      <c r="A876" s="46" t="s">
        <v>1171</v>
      </c>
      <c r="B876" s="46"/>
      <c r="C876" s="46"/>
      <c r="D876" s="46"/>
      <c r="E876" s="46"/>
      <c r="F876" s="46"/>
      <c r="G876" s="46"/>
      <c r="H876" s="46"/>
      <c r="I876" s="46"/>
      <c r="J876" s="46"/>
      <c r="K876" s="46"/>
      <c r="L876" s="46"/>
      <c r="M876" s="46" t="str">
        <f aca="false">IF(OR(B876="",I876=""),"",IFERROR(INDEX('Comment flow'!$C$40:$C$46,MATCH(I876,'Comment flow'!$A$40:$A$46,0)),""))</f>
        <v/>
      </c>
      <c r="N876" s="46" t="str">
        <f aca="false">IF(B876="","",IF(OR(I876="",I876="Open: needs a decision",L876=""),"Open","Closed"))</f>
        <v/>
      </c>
      <c r="O876" s="46"/>
      <c r="P876" s="46" t="str">
        <f aca="false">IF(OR(B876="",I876&lt;&gt;"Save for a later revision"),"",IF(COUNTIF('Deferred edits'!$K$2:$K$201,A876)&gt;0,"Yes","● Add to Deferred edits"))</f>
        <v/>
      </c>
    </row>
    <row r="877" customFormat="false" ht="15" hidden="false" customHeight="false" outlineLevel="0" collapsed="false">
      <c r="A877" s="46" t="s">
        <v>1172</v>
      </c>
      <c r="B877" s="46"/>
      <c r="C877" s="46"/>
      <c r="D877" s="46"/>
      <c r="E877" s="46"/>
      <c r="F877" s="46"/>
      <c r="G877" s="46"/>
      <c r="H877" s="46"/>
      <c r="I877" s="46"/>
      <c r="J877" s="46"/>
      <c r="K877" s="46"/>
      <c r="L877" s="46"/>
      <c r="M877" s="46" t="str">
        <f aca="false">IF(OR(B877="",I877=""),"",IFERROR(INDEX('Comment flow'!$C$40:$C$46,MATCH(I877,'Comment flow'!$A$40:$A$46,0)),""))</f>
        <v/>
      </c>
      <c r="N877" s="46" t="str">
        <f aca="false">IF(B877="","",IF(OR(I877="",I877="Open: needs a decision",L877=""),"Open","Closed"))</f>
        <v/>
      </c>
      <c r="O877" s="46"/>
      <c r="P877" s="46" t="str">
        <f aca="false">IF(OR(B877="",I877&lt;&gt;"Save for a later revision"),"",IF(COUNTIF('Deferred edits'!$K$2:$K$201,A877)&gt;0,"Yes","● Add to Deferred edits"))</f>
        <v/>
      </c>
    </row>
    <row r="878" customFormat="false" ht="15" hidden="false" customHeight="false" outlineLevel="0" collapsed="false">
      <c r="A878" s="46" t="s">
        <v>1173</v>
      </c>
      <c r="B878" s="46"/>
      <c r="C878" s="46"/>
      <c r="D878" s="46"/>
      <c r="E878" s="46"/>
      <c r="F878" s="46"/>
      <c r="G878" s="46"/>
      <c r="H878" s="46"/>
      <c r="I878" s="46"/>
      <c r="J878" s="46"/>
      <c r="K878" s="46"/>
      <c r="L878" s="46"/>
      <c r="M878" s="46" t="str">
        <f aca="false">IF(OR(B878="",I878=""),"",IFERROR(INDEX('Comment flow'!$C$40:$C$46,MATCH(I878,'Comment flow'!$A$40:$A$46,0)),""))</f>
        <v/>
      </c>
      <c r="N878" s="46" t="str">
        <f aca="false">IF(B878="","",IF(OR(I878="",I878="Open: needs a decision",L878=""),"Open","Closed"))</f>
        <v/>
      </c>
      <c r="O878" s="46"/>
      <c r="P878" s="46" t="str">
        <f aca="false">IF(OR(B878="",I878&lt;&gt;"Save for a later revision"),"",IF(COUNTIF('Deferred edits'!$K$2:$K$201,A878)&gt;0,"Yes","● Add to Deferred edits"))</f>
        <v/>
      </c>
    </row>
    <row r="879" customFormat="false" ht="15" hidden="false" customHeight="false" outlineLevel="0" collapsed="false">
      <c r="A879" s="46" t="s">
        <v>1174</v>
      </c>
      <c r="B879" s="46"/>
      <c r="C879" s="46"/>
      <c r="D879" s="46"/>
      <c r="E879" s="46"/>
      <c r="F879" s="46"/>
      <c r="G879" s="46"/>
      <c r="H879" s="46"/>
      <c r="I879" s="46"/>
      <c r="J879" s="46"/>
      <c r="K879" s="46"/>
      <c r="L879" s="46"/>
      <c r="M879" s="46" t="str">
        <f aca="false">IF(OR(B879="",I879=""),"",IFERROR(INDEX('Comment flow'!$C$40:$C$46,MATCH(I879,'Comment flow'!$A$40:$A$46,0)),""))</f>
        <v/>
      </c>
      <c r="N879" s="46" t="str">
        <f aca="false">IF(B879="","",IF(OR(I879="",I879="Open: needs a decision",L879=""),"Open","Closed"))</f>
        <v/>
      </c>
      <c r="O879" s="46"/>
      <c r="P879" s="46" t="str">
        <f aca="false">IF(OR(B879="",I879&lt;&gt;"Save for a later revision"),"",IF(COUNTIF('Deferred edits'!$K$2:$K$201,A879)&gt;0,"Yes","● Add to Deferred edits"))</f>
        <v/>
      </c>
    </row>
    <row r="880" customFormat="false" ht="15" hidden="false" customHeight="false" outlineLevel="0" collapsed="false">
      <c r="A880" s="46" t="s">
        <v>1175</v>
      </c>
      <c r="B880" s="46"/>
      <c r="C880" s="46"/>
      <c r="D880" s="46"/>
      <c r="E880" s="46"/>
      <c r="F880" s="46"/>
      <c r="G880" s="46"/>
      <c r="H880" s="46"/>
      <c r="I880" s="46"/>
      <c r="J880" s="46"/>
      <c r="K880" s="46"/>
      <c r="L880" s="46"/>
      <c r="M880" s="46" t="str">
        <f aca="false">IF(OR(B880="",I880=""),"",IFERROR(INDEX('Comment flow'!$C$40:$C$46,MATCH(I880,'Comment flow'!$A$40:$A$46,0)),""))</f>
        <v/>
      </c>
      <c r="N880" s="46" t="str">
        <f aca="false">IF(B880="","",IF(OR(I880="",I880="Open: needs a decision",L880=""),"Open","Closed"))</f>
        <v/>
      </c>
      <c r="O880" s="46"/>
      <c r="P880" s="46" t="str">
        <f aca="false">IF(OR(B880="",I880&lt;&gt;"Save for a later revision"),"",IF(COUNTIF('Deferred edits'!$K$2:$K$201,A880)&gt;0,"Yes","● Add to Deferred edits"))</f>
        <v/>
      </c>
    </row>
    <row r="881" customFormat="false" ht="15" hidden="false" customHeight="false" outlineLevel="0" collapsed="false">
      <c r="A881" s="46" t="s">
        <v>1176</v>
      </c>
      <c r="B881" s="46"/>
      <c r="C881" s="46"/>
      <c r="D881" s="46"/>
      <c r="E881" s="46"/>
      <c r="F881" s="46"/>
      <c r="G881" s="46"/>
      <c r="H881" s="46"/>
      <c r="I881" s="46"/>
      <c r="J881" s="46"/>
      <c r="K881" s="46"/>
      <c r="L881" s="46"/>
      <c r="M881" s="46" t="str">
        <f aca="false">IF(OR(B881="",I881=""),"",IFERROR(INDEX('Comment flow'!$C$40:$C$46,MATCH(I881,'Comment flow'!$A$40:$A$46,0)),""))</f>
        <v/>
      </c>
      <c r="N881" s="46" t="str">
        <f aca="false">IF(B881="","",IF(OR(I881="",I881="Open: needs a decision",L881=""),"Open","Closed"))</f>
        <v/>
      </c>
      <c r="O881" s="46"/>
      <c r="P881" s="46" t="str">
        <f aca="false">IF(OR(B881="",I881&lt;&gt;"Save for a later revision"),"",IF(COUNTIF('Deferred edits'!$K$2:$K$201,A881)&gt;0,"Yes","● Add to Deferred edits"))</f>
        <v/>
      </c>
    </row>
    <row r="882" customFormat="false" ht="15" hidden="false" customHeight="false" outlineLevel="0" collapsed="false">
      <c r="A882" s="46" t="s">
        <v>1177</v>
      </c>
      <c r="B882" s="46"/>
      <c r="C882" s="46"/>
      <c r="D882" s="46"/>
      <c r="E882" s="46"/>
      <c r="F882" s="46"/>
      <c r="G882" s="46"/>
      <c r="H882" s="46"/>
      <c r="I882" s="46"/>
      <c r="J882" s="46"/>
      <c r="K882" s="46"/>
      <c r="L882" s="46"/>
      <c r="M882" s="46" t="str">
        <f aca="false">IF(OR(B882="",I882=""),"",IFERROR(INDEX('Comment flow'!$C$40:$C$46,MATCH(I882,'Comment flow'!$A$40:$A$46,0)),""))</f>
        <v/>
      </c>
      <c r="N882" s="46" t="str">
        <f aca="false">IF(B882="","",IF(OR(I882="",I882="Open: needs a decision",L882=""),"Open","Closed"))</f>
        <v/>
      </c>
      <c r="O882" s="46"/>
      <c r="P882" s="46" t="str">
        <f aca="false">IF(OR(B882="",I882&lt;&gt;"Save for a later revision"),"",IF(COUNTIF('Deferred edits'!$K$2:$K$201,A882)&gt;0,"Yes","● Add to Deferred edits"))</f>
        <v/>
      </c>
    </row>
    <row r="883" customFormat="false" ht="15" hidden="false" customHeight="false" outlineLevel="0" collapsed="false">
      <c r="A883" s="46" t="s">
        <v>1178</v>
      </c>
      <c r="B883" s="46"/>
      <c r="C883" s="46"/>
      <c r="D883" s="46"/>
      <c r="E883" s="46"/>
      <c r="F883" s="46"/>
      <c r="G883" s="46"/>
      <c r="H883" s="46"/>
      <c r="I883" s="46"/>
      <c r="J883" s="46"/>
      <c r="K883" s="46"/>
      <c r="L883" s="46"/>
      <c r="M883" s="46" t="str">
        <f aca="false">IF(OR(B883="",I883=""),"",IFERROR(INDEX('Comment flow'!$C$40:$C$46,MATCH(I883,'Comment flow'!$A$40:$A$46,0)),""))</f>
        <v/>
      </c>
      <c r="N883" s="46" t="str">
        <f aca="false">IF(B883="","",IF(OR(I883="",I883="Open: needs a decision",L883=""),"Open","Closed"))</f>
        <v/>
      </c>
      <c r="O883" s="46"/>
      <c r="P883" s="46" t="str">
        <f aca="false">IF(OR(B883="",I883&lt;&gt;"Save for a later revision"),"",IF(COUNTIF('Deferred edits'!$K$2:$K$201,A883)&gt;0,"Yes","● Add to Deferred edits"))</f>
        <v/>
      </c>
    </row>
    <row r="884" customFormat="false" ht="15" hidden="false" customHeight="false" outlineLevel="0" collapsed="false">
      <c r="A884" s="46" t="s">
        <v>1179</v>
      </c>
      <c r="B884" s="46"/>
      <c r="C884" s="46"/>
      <c r="D884" s="46"/>
      <c r="E884" s="46"/>
      <c r="F884" s="46"/>
      <c r="G884" s="46"/>
      <c r="H884" s="46"/>
      <c r="I884" s="46"/>
      <c r="J884" s="46"/>
      <c r="K884" s="46"/>
      <c r="L884" s="46"/>
      <c r="M884" s="46" t="str">
        <f aca="false">IF(OR(B884="",I884=""),"",IFERROR(INDEX('Comment flow'!$C$40:$C$46,MATCH(I884,'Comment flow'!$A$40:$A$46,0)),""))</f>
        <v/>
      </c>
      <c r="N884" s="46" t="str">
        <f aca="false">IF(B884="","",IF(OR(I884="",I884="Open: needs a decision",L884=""),"Open","Closed"))</f>
        <v/>
      </c>
      <c r="O884" s="46"/>
      <c r="P884" s="46" t="str">
        <f aca="false">IF(OR(B884="",I884&lt;&gt;"Save for a later revision"),"",IF(COUNTIF('Deferred edits'!$K$2:$K$201,A884)&gt;0,"Yes","● Add to Deferred edits"))</f>
        <v/>
      </c>
    </row>
    <row r="885" customFormat="false" ht="15" hidden="false" customHeight="false" outlineLevel="0" collapsed="false">
      <c r="A885" s="46" t="s">
        <v>1180</v>
      </c>
      <c r="B885" s="46"/>
      <c r="C885" s="46"/>
      <c r="D885" s="46"/>
      <c r="E885" s="46"/>
      <c r="F885" s="46"/>
      <c r="G885" s="46"/>
      <c r="H885" s="46"/>
      <c r="I885" s="46"/>
      <c r="J885" s="46"/>
      <c r="K885" s="46"/>
      <c r="L885" s="46"/>
      <c r="M885" s="46" t="str">
        <f aca="false">IF(OR(B885="",I885=""),"",IFERROR(INDEX('Comment flow'!$C$40:$C$46,MATCH(I885,'Comment flow'!$A$40:$A$46,0)),""))</f>
        <v/>
      </c>
      <c r="N885" s="46" t="str">
        <f aca="false">IF(B885="","",IF(OR(I885="",I885="Open: needs a decision",L885=""),"Open","Closed"))</f>
        <v/>
      </c>
      <c r="O885" s="46"/>
      <c r="P885" s="46" t="str">
        <f aca="false">IF(OR(B885="",I885&lt;&gt;"Save for a later revision"),"",IF(COUNTIF('Deferred edits'!$K$2:$K$201,A885)&gt;0,"Yes","● Add to Deferred edits"))</f>
        <v/>
      </c>
    </row>
    <row r="886" customFormat="false" ht="15" hidden="false" customHeight="false" outlineLevel="0" collapsed="false">
      <c r="A886" s="46" t="s">
        <v>1181</v>
      </c>
      <c r="B886" s="46"/>
      <c r="C886" s="46"/>
      <c r="D886" s="46"/>
      <c r="E886" s="46"/>
      <c r="F886" s="46"/>
      <c r="G886" s="46"/>
      <c r="H886" s="46"/>
      <c r="I886" s="46"/>
      <c r="J886" s="46"/>
      <c r="K886" s="46"/>
      <c r="L886" s="46"/>
      <c r="M886" s="46" t="str">
        <f aca="false">IF(OR(B886="",I886=""),"",IFERROR(INDEX('Comment flow'!$C$40:$C$46,MATCH(I886,'Comment flow'!$A$40:$A$46,0)),""))</f>
        <v/>
      </c>
      <c r="N886" s="46" t="str">
        <f aca="false">IF(B886="","",IF(OR(I886="",I886="Open: needs a decision",L886=""),"Open","Closed"))</f>
        <v/>
      </c>
      <c r="O886" s="46"/>
      <c r="P886" s="46" t="str">
        <f aca="false">IF(OR(B886="",I886&lt;&gt;"Save for a later revision"),"",IF(COUNTIF('Deferred edits'!$K$2:$K$201,A886)&gt;0,"Yes","● Add to Deferred edits"))</f>
        <v/>
      </c>
    </row>
    <row r="887" customFormat="false" ht="15" hidden="false" customHeight="false" outlineLevel="0" collapsed="false">
      <c r="A887" s="46" t="s">
        <v>1182</v>
      </c>
      <c r="B887" s="46"/>
      <c r="C887" s="46"/>
      <c r="D887" s="46"/>
      <c r="E887" s="46"/>
      <c r="F887" s="46"/>
      <c r="G887" s="46"/>
      <c r="H887" s="46"/>
      <c r="I887" s="46"/>
      <c r="J887" s="46"/>
      <c r="K887" s="46"/>
      <c r="L887" s="46"/>
      <c r="M887" s="46" t="str">
        <f aca="false">IF(OR(B887="",I887=""),"",IFERROR(INDEX('Comment flow'!$C$40:$C$46,MATCH(I887,'Comment flow'!$A$40:$A$46,0)),""))</f>
        <v/>
      </c>
      <c r="N887" s="46" t="str">
        <f aca="false">IF(B887="","",IF(OR(I887="",I887="Open: needs a decision",L887=""),"Open","Closed"))</f>
        <v/>
      </c>
      <c r="O887" s="46"/>
      <c r="P887" s="46" t="str">
        <f aca="false">IF(OR(B887="",I887&lt;&gt;"Save for a later revision"),"",IF(COUNTIF('Deferred edits'!$K$2:$K$201,A887)&gt;0,"Yes","● Add to Deferred edits"))</f>
        <v/>
      </c>
    </row>
    <row r="888" customFormat="false" ht="15" hidden="false" customHeight="false" outlineLevel="0" collapsed="false">
      <c r="A888" s="46" t="s">
        <v>1183</v>
      </c>
      <c r="B888" s="46"/>
      <c r="C888" s="46"/>
      <c r="D888" s="46"/>
      <c r="E888" s="46"/>
      <c r="F888" s="46"/>
      <c r="G888" s="46"/>
      <c r="H888" s="46"/>
      <c r="I888" s="46"/>
      <c r="J888" s="46"/>
      <c r="K888" s="46"/>
      <c r="L888" s="46"/>
      <c r="M888" s="46" t="str">
        <f aca="false">IF(OR(B888="",I888=""),"",IFERROR(INDEX('Comment flow'!$C$40:$C$46,MATCH(I888,'Comment flow'!$A$40:$A$46,0)),""))</f>
        <v/>
      </c>
      <c r="N888" s="46" t="str">
        <f aca="false">IF(B888="","",IF(OR(I888="",I888="Open: needs a decision",L888=""),"Open","Closed"))</f>
        <v/>
      </c>
      <c r="O888" s="46"/>
      <c r="P888" s="46" t="str">
        <f aca="false">IF(OR(B888="",I888&lt;&gt;"Save for a later revision"),"",IF(COUNTIF('Deferred edits'!$K$2:$K$201,A888)&gt;0,"Yes","● Add to Deferred edits"))</f>
        <v/>
      </c>
    </row>
    <row r="889" customFormat="false" ht="15" hidden="false" customHeight="false" outlineLevel="0" collapsed="false">
      <c r="A889" s="46" t="s">
        <v>1184</v>
      </c>
      <c r="B889" s="46"/>
      <c r="C889" s="46"/>
      <c r="D889" s="46"/>
      <c r="E889" s="46"/>
      <c r="F889" s="46"/>
      <c r="G889" s="46"/>
      <c r="H889" s="46"/>
      <c r="I889" s="46"/>
      <c r="J889" s="46"/>
      <c r="K889" s="46"/>
      <c r="L889" s="46"/>
      <c r="M889" s="46" t="str">
        <f aca="false">IF(OR(B889="",I889=""),"",IFERROR(INDEX('Comment flow'!$C$40:$C$46,MATCH(I889,'Comment flow'!$A$40:$A$46,0)),""))</f>
        <v/>
      </c>
      <c r="N889" s="46" t="str">
        <f aca="false">IF(B889="","",IF(OR(I889="",I889="Open: needs a decision",L889=""),"Open","Closed"))</f>
        <v/>
      </c>
      <c r="O889" s="46"/>
      <c r="P889" s="46" t="str">
        <f aca="false">IF(OR(B889="",I889&lt;&gt;"Save for a later revision"),"",IF(COUNTIF('Deferred edits'!$K$2:$K$201,A889)&gt;0,"Yes","● Add to Deferred edits"))</f>
        <v/>
      </c>
    </row>
    <row r="890" customFormat="false" ht="15" hidden="false" customHeight="false" outlineLevel="0" collapsed="false">
      <c r="A890" s="46" t="s">
        <v>1185</v>
      </c>
      <c r="B890" s="46"/>
      <c r="C890" s="46"/>
      <c r="D890" s="46"/>
      <c r="E890" s="46"/>
      <c r="F890" s="46"/>
      <c r="G890" s="46"/>
      <c r="H890" s="46"/>
      <c r="I890" s="46"/>
      <c r="J890" s="46"/>
      <c r="K890" s="46"/>
      <c r="L890" s="46"/>
      <c r="M890" s="46" t="str">
        <f aca="false">IF(OR(B890="",I890=""),"",IFERROR(INDEX('Comment flow'!$C$40:$C$46,MATCH(I890,'Comment flow'!$A$40:$A$46,0)),""))</f>
        <v/>
      </c>
      <c r="N890" s="46" t="str">
        <f aca="false">IF(B890="","",IF(OR(I890="",I890="Open: needs a decision",L890=""),"Open","Closed"))</f>
        <v/>
      </c>
      <c r="O890" s="46"/>
      <c r="P890" s="46" t="str">
        <f aca="false">IF(OR(B890="",I890&lt;&gt;"Save for a later revision"),"",IF(COUNTIF('Deferred edits'!$K$2:$K$201,A890)&gt;0,"Yes","● Add to Deferred edits"))</f>
        <v/>
      </c>
    </row>
    <row r="891" customFormat="false" ht="15" hidden="false" customHeight="false" outlineLevel="0" collapsed="false">
      <c r="A891" s="46" t="s">
        <v>1186</v>
      </c>
      <c r="B891" s="46"/>
      <c r="C891" s="46"/>
      <c r="D891" s="46"/>
      <c r="E891" s="46"/>
      <c r="F891" s="46"/>
      <c r="G891" s="46"/>
      <c r="H891" s="46"/>
      <c r="I891" s="46"/>
      <c r="J891" s="46"/>
      <c r="K891" s="46"/>
      <c r="L891" s="46"/>
      <c r="M891" s="46" t="str">
        <f aca="false">IF(OR(B891="",I891=""),"",IFERROR(INDEX('Comment flow'!$C$40:$C$46,MATCH(I891,'Comment flow'!$A$40:$A$46,0)),""))</f>
        <v/>
      </c>
      <c r="N891" s="46" t="str">
        <f aca="false">IF(B891="","",IF(OR(I891="",I891="Open: needs a decision",L891=""),"Open","Closed"))</f>
        <v/>
      </c>
      <c r="O891" s="46"/>
      <c r="P891" s="46" t="str">
        <f aca="false">IF(OR(B891="",I891&lt;&gt;"Save for a later revision"),"",IF(COUNTIF('Deferred edits'!$K$2:$K$201,A891)&gt;0,"Yes","● Add to Deferred edits"))</f>
        <v/>
      </c>
    </row>
    <row r="892" customFormat="false" ht="15" hidden="false" customHeight="false" outlineLevel="0" collapsed="false">
      <c r="A892" s="46" t="s">
        <v>1187</v>
      </c>
      <c r="B892" s="46"/>
      <c r="C892" s="46"/>
      <c r="D892" s="46"/>
      <c r="E892" s="46"/>
      <c r="F892" s="46"/>
      <c r="G892" s="46"/>
      <c r="H892" s="46"/>
      <c r="I892" s="46"/>
      <c r="J892" s="46"/>
      <c r="K892" s="46"/>
      <c r="L892" s="46"/>
      <c r="M892" s="46" t="str">
        <f aca="false">IF(OR(B892="",I892=""),"",IFERROR(INDEX('Comment flow'!$C$40:$C$46,MATCH(I892,'Comment flow'!$A$40:$A$46,0)),""))</f>
        <v/>
      </c>
      <c r="N892" s="46" t="str">
        <f aca="false">IF(B892="","",IF(OR(I892="",I892="Open: needs a decision",L892=""),"Open","Closed"))</f>
        <v/>
      </c>
      <c r="O892" s="46"/>
      <c r="P892" s="46" t="str">
        <f aca="false">IF(OR(B892="",I892&lt;&gt;"Save for a later revision"),"",IF(COUNTIF('Deferred edits'!$K$2:$K$201,A892)&gt;0,"Yes","● Add to Deferred edits"))</f>
        <v/>
      </c>
    </row>
    <row r="893" customFormat="false" ht="15" hidden="false" customHeight="false" outlineLevel="0" collapsed="false">
      <c r="A893" s="46" t="s">
        <v>1188</v>
      </c>
      <c r="B893" s="46"/>
      <c r="C893" s="46"/>
      <c r="D893" s="46"/>
      <c r="E893" s="46"/>
      <c r="F893" s="46"/>
      <c r="G893" s="46"/>
      <c r="H893" s="46"/>
      <c r="I893" s="46"/>
      <c r="J893" s="46"/>
      <c r="K893" s="46"/>
      <c r="L893" s="46"/>
      <c r="M893" s="46" t="str">
        <f aca="false">IF(OR(B893="",I893=""),"",IFERROR(INDEX('Comment flow'!$C$40:$C$46,MATCH(I893,'Comment flow'!$A$40:$A$46,0)),""))</f>
        <v/>
      </c>
      <c r="N893" s="46" t="str">
        <f aca="false">IF(B893="","",IF(OR(I893="",I893="Open: needs a decision",L893=""),"Open","Closed"))</f>
        <v/>
      </c>
      <c r="O893" s="46"/>
      <c r="P893" s="46" t="str">
        <f aca="false">IF(OR(B893="",I893&lt;&gt;"Save for a later revision"),"",IF(COUNTIF('Deferred edits'!$K$2:$K$201,A893)&gt;0,"Yes","● Add to Deferred edits"))</f>
        <v/>
      </c>
    </row>
    <row r="894" customFormat="false" ht="15" hidden="false" customHeight="false" outlineLevel="0" collapsed="false">
      <c r="A894" s="46" t="s">
        <v>1189</v>
      </c>
      <c r="B894" s="46"/>
      <c r="C894" s="46"/>
      <c r="D894" s="46"/>
      <c r="E894" s="46"/>
      <c r="F894" s="46"/>
      <c r="G894" s="46"/>
      <c r="H894" s="46"/>
      <c r="I894" s="46"/>
      <c r="J894" s="46"/>
      <c r="K894" s="46"/>
      <c r="L894" s="46"/>
      <c r="M894" s="46" t="str">
        <f aca="false">IF(OR(B894="",I894=""),"",IFERROR(INDEX('Comment flow'!$C$40:$C$46,MATCH(I894,'Comment flow'!$A$40:$A$46,0)),""))</f>
        <v/>
      </c>
      <c r="N894" s="46" t="str">
        <f aca="false">IF(B894="","",IF(OR(I894="",I894="Open: needs a decision",L894=""),"Open","Closed"))</f>
        <v/>
      </c>
      <c r="O894" s="46"/>
      <c r="P894" s="46" t="str">
        <f aca="false">IF(OR(B894="",I894&lt;&gt;"Save for a later revision"),"",IF(COUNTIF('Deferred edits'!$K$2:$K$201,A894)&gt;0,"Yes","● Add to Deferred edits"))</f>
        <v/>
      </c>
    </row>
    <row r="895" customFormat="false" ht="15" hidden="false" customHeight="false" outlineLevel="0" collapsed="false">
      <c r="A895" s="46" t="s">
        <v>1190</v>
      </c>
      <c r="B895" s="46"/>
      <c r="C895" s="46"/>
      <c r="D895" s="46"/>
      <c r="E895" s="46"/>
      <c r="F895" s="46"/>
      <c r="G895" s="46"/>
      <c r="H895" s="46"/>
      <c r="I895" s="46"/>
      <c r="J895" s="46"/>
      <c r="K895" s="46"/>
      <c r="L895" s="46"/>
      <c r="M895" s="46" t="str">
        <f aca="false">IF(OR(B895="",I895=""),"",IFERROR(INDEX('Comment flow'!$C$40:$C$46,MATCH(I895,'Comment flow'!$A$40:$A$46,0)),""))</f>
        <v/>
      </c>
      <c r="N895" s="46" t="str">
        <f aca="false">IF(B895="","",IF(OR(I895="",I895="Open: needs a decision",L895=""),"Open","Closed"))</f>
        <v/>
      </c>
      <c r="O895" s="46"/>
      <c r="P895" s="46" t="str">
        <f aca="false">IF(OR(B895="",I895&lt;&gt;"Save for a later revision"),"",IF(COUNTIF('Deferred edits'!$K$2:$K$201,A895)&gt;0,"Yes","● Add to Deferred edits"))</f>
        <v/>
      </c>
    </row>
    <row r="896" customFormat="false" ht="15" hidden="false" customHeight="false" outlineLevel="0" collapsed="false">
      <c r="A896" s="46" t="s">
        <v>1191</v>
      </c>
      <c r="B896" s="46"/>
      <c r="C896" s="46"/>
      <c r="D896" s="46"/>
      <c r="E896" s="46"/>
      <c r="F896" s="46"/>
      <c r="G896" s="46"/>
      <c r="H896" s="46"/>
      <c r="I896" s="46"/>
      <c r="J896" s="46"/>
      <c r="K896" s="46"/>
      <c r="L896" s="46"/>
      <c r="M896" s="46" t="str">
        <f aca="false">IF(OR(B896="",I896=""),"",IFERROR(INDEX('Comment flow'!$C$40:$C$46,MATCH(I896,'Comment flow'!$A$40:$A$46,0)),""))</f>
        <v/>
      </c>
      <c r="N896" s="46" t="str">
        <f aca="false">IF(B896="","",IF(OR(I896="",I896="Open: needs a decision",L896=""),"Open","Closed"))</f>
        <v/>
      </c>
      <c r="O896" s="46"/>
      <c r="P896" s="46" t="str">
        <f aca="false">IF(OR(B896="",I896&lt;&gt;"Save for a later revision"),"",IF(COUNTIF('Deferred edits'!$K$2:$K$201,A896)&gt;0,"Yes","● Add to Deferred edits"))</f>
        <v/>
      </c>
    </row>
    <row r="897" customFormat="false" ht="15" hidden="false" customHeight="false" outlineLevel="0" collapsed="false">
      <c r="A897" s="46" t="s">
        <v>1192</v>
      </c>
      <c r="B897" s="46"/>
      <c r="C897" s="46"/>
      <c r="D897" s="46"/>
      <c r="E897" s="46"/>
      <c r="F897" s="46"/>
      <c r="G897" s="46"/>
      <c r="H897" s="46"/>
      <c r="I897" s="46"/>
      <c r="J897" s="46"/>
      <c r="K897" s="46"/>
      <c r="L897" s="46"/>
      <c r="M897" s="46" t="str">
        <f aca="false">IF(OR(B897="",I897=""),"",IFERROR(INDEX('Comment flow'!$C$40:$C$46,MATCH(I897,'Comment flow'!$A$40:$A$46,0)),""))</f>
        <v/>
      </c>
      <c r="N897" s="46" t="str">
        <f aca="false">IF(B897="","",IF(OR(I897="",I897="Open: needs a decision",L897=""),"Open","Closed"))</f>
        <v/>
      </c>
      <c r="O897" s="46"/>
      <c r="P897" s="46" t="str">
        <f aca="false">IF(OR(B897="",I897&lt;&gt;"Save for a later revision"),"",IF(COUNTIF('Deferred edits'!$K$2:$K$201,A897)&gt;0,"Yes","● Add to Deferred edits"))</f>
        <v/>
      </c>
    </row>
    <row r="898" customFormat="false" ht="15" hidden="false" customHeight="false" outlineLevel="0" collapsed="false">
      <c r="A898" s="46" t="s">
        <v>1193</v>
      </c>
      <c r="B898" s="46"/>
      <c r="C898" s="46"/>
      <c r="D898" s="46"/>
      <c r="E898" s="46"/>
      <c r="F898" s="46"/>
      <c r="G898" s="46"/>
      <c r="H898" s="46"/>
      <c r="I898" s="46"/>
      <c r="J898" s="46"/>
      <c r="K898" s="46"/>
      <c r="L898" s="46"/>
      <c r="M898" s="46" t="str">
        <f aca="false">IF(OR(B898="",I898=""),"",IFERROR(INDEX('Comment flow'!$C$40:$C$46,MATCH(I898,'Comment flow'!$A$40:$A$46,0)),""))</f>
        <v/>
      </c>
      <c r="N898" s="46" t="str">
        <f aca="false">IF(B898="","",IF(OR(I898="",I898="Open: needs a decision",L898=""),"Open","Closed"))</f>
        <v/>
      </c>
      <c r="O898" s="46"/>
      <c r="P898" s="46" t="str">
        <f aca="false">IF(OR(B898="",I898&lt;&gt;"Save for a later revision"),"",IF(COUNTIF('Deferred edits'!$K$2:$K$201,A898)&gt;0,"Yes","● Add to Deferred edits"))</f>
        <v/>
      </c>
    </row>
    <row r="899" customFormat="false" ht="15" hidden="false" customHeight="false" outlineLevel="0" collapsed="false">
      <c r="A899" s="46" t="s">
        <v>1194</v>
      </c>
      <c r="B899" s="46"/>
      <c r="C899" s="46"/>
      <c r="D899" s="46"/>
      <c r="E899" s="46"/>
      <c r="F899" s="46"/>
      <c r="G899" s="46"/>
      <c r="H899" s="46"/>
      <c r="I899" s="46"/>
      <c r="J899" s="46"/>
      <c r="K899" s="46"/>
      <c r="L899" s="46"/>
      <c r="M899" s="46" t="str">
        <f aca="false">IF(OR(B899="",I899=""),"",IFERROR(INDEX('Comment flow'!$C$40:$C$46,MATCH(I899,'Comment flow'!$A$40:$A$46,0)),""))</f>
        <v/>
      </c>
      <c r="N899" s="46" t="str">
        <f aca="false">IF(B899="","",IF(OR(I899="",I899="Open: needs a decision",L899=""),"Open","Closed"))</f>
        <v/>
      </c>
      <c r="O899" s="46"/>
      <c r="P899" s="46" t="str">
        <f aca="false">IF(OR(B899="",I899&lt;&gt;"Save for a later revision"),"",IF(COUNTIF('Deferred edits'!$K$2:$K$201,A899)&gt;0,"Yes","● Add to Deferred edits"))</f>
        <v/>
      </c>
    </row>
    <row r="900" customFormat="false" ht="15" hidden="false" customHeight="false" outlineLevel="0" collapsed="false">
      <c r="A900" s="46" t="s">
        <v>1195</v>
      </c>
      <c r="B900" s="46"/>
      <c r="C900" s="46"/>
      <c r="D900" s="46"/>
      <c r="E900" s="46"/>
      <c r="F900" s="46"/>
      <c r="G900" s="46"/>
      <c r="H900" s="46"/>
      <c r="I900" s="46"/>
      <c r="J900" s="46"/>
      <c r="K900" s="46"/>
      <c r="L900" s="46"/>
      <c r="M900" s="46" t="str">
        <f aca="false">IF(OR(B900="",I900=""),"",IFERROR(INDEX('Comment flow'!$C$40:$C$46,MATCH(I900,'Comment flow'!$A$40:$A$46,0)),""))</f>
        <v/>
      </c>
      <c r="N900" s="46" t="str">
        <f aca="false">IF(B900="","",IF(OR(I900="",I900="Open: needs a decision",L900=""),"Open","Closed"))</f>
        <v/>
      </c>
      <c r="O900" s="46"/>
      <c r="P900" s="46" t="str">
        <f aca="false">IF(OR(B900="",I900&lt;&gt;"Save for a later revision"),"",IF(COUNTIF('Deferred edits'!$K$2:$K$201,A900)&gt;0,"Yes","● Add to Deferred edits"))</f>
        <v/>
      </c>
    </row>
    <row r="901" customFormat="false" ht="15" hidden="false" customHeight="false" outlineLevel="0" collapsed="false">
      <c r="A901" s="46" t="s">
        <v>1196</v>
      </c>
      <c r="B901" s="46"/>
      <c r="C901" s="46"/>
      <c r="D901" s="46"/>
      <c r="E901" s="46"/>
      <c r="F901" s="46"/>
      <c r="G901" s="46"/>
      <c r="H901" s="46"/>
      <c r="I901" s="46"/>
      <c r="J901" s="46"/>
      <c r="K901" s="46"/>
      <c r="L901" s="46"/>
      <c r="M901" s="46" t="str">
        <f aca="false">IF(OR(B901="",I901=""),"",IFERROR(INDEX('Comment flow'!$C$40:$C$46,MATCH(I901,'Comment flow'!$A$40:$A$46,0)),""))</f>
        <v/>
      </c>
      <c r="N901" s="46" t="str">
        <f aca="false">IF(B901="","",IF(OR(I901="",I901="Open: needs a decision",L901=""),"Open","Closed"))</f>
        <v/>
      </c>
      <c r="O901" s="46"/>
      <c r="P901" s="46" t="str">
        <f aca="false">IF(OR(B901="",I901&lt;&gt;"Save for a later revision"),"",IF(COUNTIF('Deferred edits'!$K$2:$K$201,A901)&gt;0,"Yes","● Add to Deferred edits"))</f>
        <v/>
      </c>
    </row>
    <row r="902" customFormat="false" ht="15" hidden="false" customHeight="false" outlineLevel="0" collapsed="false">
      <c r="A902" s="46" t="s">
        <v>1197</v>
      </c>
      <c r="B902" s="46"/>
      <c r="C902" s="46"/>
      <c r="D902" s="46"/>
      <c r="E902" s="46"/>
      <c r="F902" s="46"/>
      <c r="G902" s="46"/>
      <c r="H902" s="46"/>
      <c r="I902" s="46"/>
      <c r="J902" s="46"/>
      <c r="K902" s="46"/>
      <c r="L902" s="46"/>
      <c r="M902" s="46" t="str">
        <f aca="false">IF(OR(B902="",I902=""),"",IFERROR(INDEX('Comment flow'!$C$40:$C$46,MATCH(I902,'Comment flow'!$A$40:$A$46,0)),""))</f>
        <v/>
      </c>
      <c r="N902" s="46" t="str">
        <f aca="false">IF(B902="","",IF(OR(I902="",I902="Open: needs a decision",L902=""),"Open","Closed"))</f>
        <v/>
      </c>
      <c r="O902" s="46"/>
      <c r="P902" s="46" t="str">
        <f aca="false">IF(OR(B902="",I902&lt;&gt;"Save for a later revision"),"",IF(COUNTIF('Deferred edits'!$K$2:$K$201,A902)&gt;0,"Yes","● Add to Deferred edits"))</f>
        <v/>
      </c>
    </row>
    <row r="903" customFormat="false" ht="15" hidden="false" customHeight="false" outlineLevel="0" collapsed="false">
      <c r="A903" s="46" t="s">
        <v>1198</v>
      </c>
      <c r="B903" s="46"/>
      <c r="C903" s="46"/>
      <c r="D903" s="46"/>
      <c r="E903" s="46"/>
      <c r="F903" s="46"/>
      <c r="G903" s="46"/>
      <c r="H903" s="46"/>
      <c r="I903" s="46"/>
      <c r="J903" s="46"/>
      <c r="K903" s="46"/>
      <c r="L903" s="46"/>
      <c r="M903" s="46" t="str">
        <f aca="false">IF(OR(B903="",I903=""),"",IFERROR(INDEX('Comment flow'!$C$40:$C$46,MATCH(I903,'Comment flow'!$A$40:$A$46,0)),""))</f>
        <v/>
      </c>
      <c r="N903" s="46" t="str">
        <f aca="false">IF(B903="","",IF(OR(I903="",I903="Open: needs a decision",L903=""),"Open","Closed"))</f>
        <v/>
      </c>
      <c r="O903" s="46"/>
      <c r="P903" s="46" t="str">
        <f aca="false">IF(OR(B903="",I903&lt;&gt;"Save for a later revision"),"",IF(COUNTIF('Deferred edits'!$K$2:$K$201,A903)&gt;0,"Yes","● Add to Deferred edits"))</f>
        <v/>
      </c>
    </row>
    <row r="904" customFormat="false" ht="15" hidden="false" customHeight="false" outlineLevel="0" collapsed="false">
      <c r="A904" s="46" t="s">
        <v>1199</v>
      </c>
      <c r="B904" s="46"/>
      <c r="C904" s="46"/>
      <c r="D904" s="46"/>
      <c r="E904" s="46"/>
      <c r="F904" s="46"/>
      <c r="G904" s="46"/>
      <c r="H904" s="46"/>
      <c r="I904" s="46"/>
      <c r="J904" s="46"/>
      <c r="K904" s="46"/>
      <c r="L904" s="46"/>
      <c r="M904" s="46" t="str">
        <f aca="false">IF(OR(B904="",I904=""),"",IFERROR(INDEX('Comment flow'!$C$40:$C$46,MATCH(I904,'Comment flow'!$A$40:$A$46,0)),""))</f>
        <v/>
      </c>
      <c r="N904" s="46" t="str">
        <f aca="false">IF(B904="","",IF(OR(I904="",I904="Open: needs a decision",L904=""),"Open","Closed"))</f>
        <v/>
      </c>
      <c r="O904" s="46"/>
      <c r="P904" s="46" t="str">
        <f aca="false">IF(OR(B904="",I904&lt;&gt;"Save for a later revision"),"",IF(COUNTIF('Deferred edits'!$K$2:$K$201,A904)&gt;0,"Yes","● Add to Deferred edits"))</f>
        <v/>
      </c>
    </row>
    <row r="905" customFormat="false" ht="15" hidden="false" customHeight="false" outlineLevel="0" collapsed="false">
      <c r="A905" s="46" t="s">
        <v>1200</v>
      </c>
      <c r="B905" s="46"/>
      <c r="C905" s="46"/>
      <c r="D905" s="46"/>
      <c r="E905" s="46"/>
      <c r="F905" s="46"/>
      <c r="G905" s="46"/>
      <c r="H905" s="46"/>
      <c r="I905" s="46"/>
      <c r="J905" s="46"/>
      <c r="K905" s="46"/>
      <c r="L905" s="46"/>
      <c r="M905" s="46" t="str">
        <f aca="false">IF(OR(B905="",I905=""),"",IFERROR(INDEX('Comment flow'!$C$40:$C$46,MATCH(I905,'Comment flow'!$A$40:$A$46,0)),""))</f>
        <v/>
      </c>
      <c r="N905" s="46" t="str">
        <f aca="false">IF(B905="","",IF(OR(I905="",I905="Open: needs a decision",L905=""),"Open","Closed"))</f>
        <v/>
      </c>
      <c r="O905" s="46"/>
      <c r="P905" s="46" t="str">
        <f aca="false">IF(OR(B905="",I905&lt;&gt;"Save for a later revision"),"",IF(COUNTIF('Deferred edits'!$K$2:$K$201,A905)&gt;0,"Yes","● Add to Deferred edits"))</f>
        <v/>
      </c>
    </row>
    <row r="906" customFormat="false" ht="15" hidden="false" customHeight="false" outlineLevel="0" collapsed="false">
      <c r="A906" s="46" t="s">
        <v>1201</v>
      </c>
      <c r="B906" s="46"/>
      <c r="C906" s="46"/>
      <c r="D906" s="46"/>
      <c r="E906" s="46"/>
      <c r="F906" s="46"/>
      <c r="G906" s="46"/>
      <c r="H906" s="46"/>
      <c r="I906" s="46"/>
      <c r="J906" s="46"/>
      <c r="K906" s="46"/>
      <c r="L906" s="46"/>
      <c r="M906" s="46" t="str">
        <f aca="false">IF(OR(B906="",I906=""),"",IFERROR(INDEX('Comment flow'!$C$40:$C$46,MATCH(I906,'Comment flow'!$A$40:$A$46,0)),""))</f>
        <v/>
      </c>
      <c r="N906" s="46" t="str">
        <f aca="false">IF(B906="","",IF(OR(I906="",I906="Open: needs a decision",L906=""),"Open","Closed"))</f>
        <v/>
      </c>
      <c r="O906" s="46"/>
      <c r="P906" s="46" t="str">
        <f aca="false">IF(OR(B906="",I906&lt;&gt;"Save for a later revision"),"",IF(COUNTIF('Deferred edits'!$K$2:$K$201,A906)&gt;0,"Yes","● Add to Deferred edits"))</f>
        <v/>
      </c>
    </row>
    <row r="907" customFormat="false" ht="15" hidden="false" customHeight="false" outlineLevel="0" collapsed="false">
      <c r="A907" s="46" t="s">
        <v>1202</v>
      </c>
      <c r="B907" s="46"/>
      <c r="C907" s="46"/>
      <c r="D907" s="46"/>
      <c r="E907" s="46"/>
      <c r="F907" s="46"/>
      <c r="G907" s="46"/>
      <c r="H907" s="46"/>
      <c r="I907" s="46"/>
      <c r="J907" s="46"/>
      <c r="K907" s="46"/>
      <c r="L907" s="46"/>
      <c r="M907" s="46" t="str">
        <f aca="false">IF(OR(B907="",I907=""),"",IFERROR(INDEX('Comment flow'!$C$40:$C$46,MATCH(I907,'Comment flow'!$A$40:$A$46,0)),""))</f>
        <v/>
      </c>
      <c r="N907" s="46" t="str">
        <f aca="false">IF(B907="","",IF(OR(I907="",I907="Open: needs a decision",L907=""),"Open","Closed"))</f>
        <v/>
      </c>
      <c r="O907" s="46"/>
      <c r="P907" s="46" t="str">
        <f aca="false">IF(OR(B907="",I907&lt;&gt;"Save for a later revision"),"",IF(COUNTIF('Deferred edits'!$K$2:$K$201,A907)&gt;0,"Yes","● Add to Deferred edits"))</f>
        <v/>
      </c>
    </row>
    <row r="908" customFormat="false" ht="15" hidden="false" customHeight="false" outlineLevel="0" collapsed="false">
      <c r="A908" s="46" t="s">
        <v>1203</v>
      </c>
      <c r="B908" s="46"/>
      <c r="C908" s="46"/>
      <c r="D908" s="46"/>
      <c r="E908" s="46"/>
      <c r="F908" s="46"/>
      <c r="G908" s="46"/>
      <c r="H908" s="46"/>
      <c r="I908" s="46"/>
      <c r="J908" s="46"/>
      <c r="K908" s="46"/>
      <c r="L908" s="46"/>
      <c r="M908" s="46" t="str">
        <f aca="false">IF(OR(B908="",I908=""),"",IFERROR(INDEX('Comment flow'!$C$40:$C$46,MATCH(I908,'Comment flow'!$A$40:$A$46,0)),""))</f>
        <v/>
      </c>
      <c r="N908" s="46" t="str">
        <f aca="false">IF(B908="","",IF(OR(I908="",I908="Open: needs a decision",L908=""),"Open","Closed"))</f>
        <v/>
      </c>
      <c r="O908" s="46"/>
      <c r="P908" s="46" t="str">
        <f aca="false">IF(OR(B908="",I908&lt;&gt;"Save for a later revision"),"",IF(COUNTIF('Deferred edits'!$K$2:$K$201,A908)&gt;0,"Yes","● Add to Deferred edits"))</f>
        <v/>
      </c>
    </row>
    <row r="909" customFormat="false" ht="15" hidden="false" customHeight="false" outlineLevel="0" collapsed="false">
      <c r="A909" s="46" t="s">
        <v>1204</v>
      </c>
      <c r="B909" s="46"/>
      <c r="C909" s="46"/>
      <c r="D909" s="46"/>
      <c r="E909" s="46"/>
      <c r="F909" s="46"/>
      <c r="G909" s="46"/>
      <c r="H909" s="46"/>
      <c r="I909" s="46"/>
      <c r="J909" s="46"/>
      <c r="K909" s="46"/>
      <c r="L909" s="46"/>
      <c r="M909" s="46" t="str">
        <f aca="false">IF(OR(B909="",I909=""),"",IFERROR(INDEX('Comment flow'!$C$40:$C$46,MATCH(I909,'Comment flow'!$A$40:$A$46,0)),""))</f>
        <v/>
      </c>
      <c r="N909" s="46" t="str">
        <f aca="false">IF(B909="","",IF(OR(I909="",I909="Open: needs a decision",L909=""),"Open","Closed"))</f>
        <v/>
      </c>
      <c r="O909" s="46"/>
      <c r="P909" s="46" t="str">
        <f aca="false">IF(OR(B909="",I909&lt;&gt;"Save for a later revision"),"",IF(COUNTIF('Deferred edits'!$K$2:$K$201,A909)&gt;0,"Yes","● Add to Deferred edits"))</f>
        <v/>
      </c>
    </row>
    <row r="910" customFormat="false" ht="15" hidden="false" customHeight="false" outlineLevel="0" collapsed="false">
      <c r="A910" s="46" t="s">
        <v>1205</v>
      </c>
      <c r="B910" s="46"/>
      <c r="C910" s="46"/>
      <c r="D910" s="46"/>
      <c r="E910" s="46"/>
      <c r="F910" s="46"/>
      <c r="G910" s="46"/>
      <c r="H910" s="46"/>
      <c r="I910" s="46"/>
      <c r="J910" s="46"/>
      <c r="K910" s="46"/>
      <c r="L910" s="46"/>
      <c r="M910" s="46" t="str">
        <f aca="false">IF(OR(B910="",I910=""),"",IFERROR(INDEX('Comment flow'!$C$40:$C$46,MATCH(I910,'Comment flow'!$A$40:$A$46,0)),""))</f>
        <v/>
      </c>
      <c r="N910" s="46" t="str">
        <f aca="false">IF(B910="","",IF(OR(I910="",I910="Open: needs a decision",L910=""),"Open","Closed"))</f>
        <v/>
      </c>
      <c r="O910" s="46"/>
      <c r="P910" s="46" t="str">
        <f aca="false">IF(OR(B910="",I910&lt;&gt;"Save for a later revision"),"",IF(COUNTIF('Deferred edits'!$K$2:$K$201,A910)&gt;0,"Yes","● Add to Deferred edits"))</f>
        <v/>
      </c>
    </row>
    <row r="911" customFormat="false" ht="15" hidden="false" customHeight="false" outlineLevel="0" collapsed="false">
      <c r="A911" s="46" t="s">
        <v>1206</v>
      </c>
      <c r="B911" s="46"/>
      <c r="C911" s="46"/>
      <c r="D911" s="46"/>
      <c r="E911" s="46"/>
      <c r="F911" s="46"/>
      <c r="G911" s="46"/>
      <c r="H911" s="46"/>
      <c r="I911" s="46"/>
      <c r="J911" s="46"/>
      <c r="K911" s="46"/>
      <c r="L911" s="46"/>
      <c r="M911" s="46" t="str">
        <f aca="false">IF(OR(B911="",I911=""),"",IFERROR(INDEX('Comment flow'!$C$40:$C$46,MATCH(I911,'Comment flow'!$A$40:$A$46,0)),""))</f>
        <v/>
      </c>
      <c r="N911" s="46" t="str">
        <f aca="false">IF(B911="","",IF(OR(I911="",I911="Open: needs a decision",L911=""),"Open","Closed"))</f>
        <v/>
      </c>
      <c r="O911" s="46"/>
      <c r="P911" s="46" t="str">
        <f aca="false">IF(OR(B911="",I911&lt;&gt;"Save for a later revision"),"",IF(COUNTIF('Deferred edits'!$K$2:$K$201,A911)&gt;0,"Yes","● Add to Deferred edits"))</f>
        <v/>
      </c>
    </row>
    <row r="912" customFormat="false" ht="15" hidden="false" customHeight="false" outlineLevel="0" collapsed="false">
      <c r="A912" s="46" t="s">
        <v>1207</v>
      </c>
      <c r="B912" s="46"/>
      <c r="C912" s="46"/>
      <c r="D912" s="46"/>
      <c r="E912" s="46"/>
      <c r="F912" s="46"/>
      <c r="G912" s="46"/>
      <c r="H912" s="46"/>
      <c r="I912" s="46"/>
      <c r="J912" s="46"/>
      <c r="K912" s="46"/>
      <c r="L912" s="46"/>
      <c r="M912" s="46" t="str">
        <f aca="false">IF(OR(B912="",I912=""),"",IFERROR(INDEX('Comment flow'!$C$40:$C$46,MATCH(I912,'Comment flow'!$A$40:$A$46,0)),""))</f>
        <v/>
      </c>
      <c r="N912" s="46" t="str">
        <f aca="false">IF(B912="","",IF(OR(I912="",I912="Open: needs a decision",L912=""),"Open","Closed"))</f>
        <v/>
      </c>
      <c r="O912" s="46"/>
      <c r="P912" s="46" t="str">
        <f aca="false">IF(OR(B912="",I912&lt;&gt;"Save for a later revision"),"",IF(COUNTIF('Deferred edits'!$K$2:$K$201,A912)&gt;0,"Yes","● Add to Deferred edits"))</f>
        <v/>
      </c>
    </row>
    <row r="913" customFormat="false" ht="15" hidden="false" customHeight="false" outlineLevel="0" collapsed="false">
      <c r="A913" s="46" t="s">
        <v>1208</v>
      </c>
      <c r="B913" s="46"/>
      <c r="C913" s="46"/>
      <c r="D913" s="46"/>
      <c r="E913" s="46"/>
      <c r="F913" s="46"/>
      <c r="G913" s="46"/>
      <c r="H913" s="46"/>
      <c r="I913" s="46"/>
      <c r="J913" s="46"/>
      <c r="K913" s="46"/>
      <c r="L913" s="46"/>
      <c r="M913" s="46" t="str">
        <f aca="false">IF(OR(B913="",I913=""),"",IFERROR(INDEX('Comment flow'!$C$40:$C$46,MATCH(I913,'Comment flow'!$A$40:$A$46,0)),""))</f>
        <v/>
      </c>
      <c r="N913" s="46" t="str">
        <f aca="false">IF(B913="","",IF(OR(I913="",I913="Open: needs a decision",L913=""),"Open","Closed"))</f>
        <v/>
      </c>
      <c r="O913" s="46"/>
      <c r="P913" s="46" t="str">
        <f aca="false">IF(OR(B913="",I913&lt;&gt;"Save for a later revision"),"",IF(COUNTIF('Deferred edits'!$K$2:$K$201,A913)&gt;0,"Yes","● Add to Deferred edits"))</f>
        <v/>
      </c>
    </row>
    <row r="914" customFormat="false" ht="15" hidden="false" customHeight="false" outlineLevel="0" collapsed="false">
      <c r="A914" s="46" t="s">
        <v>1209</v>
      </c>
      <c r="B914" s="46"/>
      <c r="C914" s="46"/>
      <c r="D914" s="46"/>
      <c r="E914" s="46"/>
      <c r="F914" s="46"/>
      <c r="G914" s="46"/>
      <c r="H914" s="46"/>
      <c r="I914" s="46"/>
      <c r="J914" s="46"/>
      <c r="K914" s="46"/>
      <c r="L914" s="46"/>
      <c r="M914" s="46" t="str">
        <f aca="false">IF(OR(B914="",I914=""),"",IFERROR(INDEX('Comment flow'!$C$40:$C$46,MATCH(I914,'Comment flow'!$A$40:$A$46,0)),""))</f>
        <v/>
      </c>
      <c r="N914" s="46" t="str">
        <f aca="false">IF(B914="","",IF(OR(I914="",I914="Open: needs a decision",L914=""),"Open","Closed"))</f>
        <v/>
      </c>
      <c r="O914" s="46"/>
      <c r="P914" s="46" t="str">
        <f aca="false">IF(OR(B914="",I914&lt;&gt;"Save for a later revision"),"",IF(COUNTIF('Deferred edits'!$K$2:$K$201,A914)&gt;0,"Yes","● Add to Deferred edits"))</f>
        <v/>
      </c>
    </row>
    <row r="915" customFormat="false" ht="15" hidden="false" customHeight="false" outlineLevel="0" collapsed="false">
      <c r="A915" s="46" t="s">
        <v>1210</v>
      </c>
      <c r="B915" s="46"/>
      <c r="C915" s="46"/>
      <c r="D915" s="46"/>
      <c r="E915" s="46"/>
      <c r="F915" s="46"/>
      <c r="G915" s="46"/>
      <c r="H915" s="46"/>
      <c r="I915" s="46"/>
      <c r="J915" s="46"/>
      <c r="K915" s="46"/>
      <c r="L915" s="46"/>
      <c r="M915" s="46" t="str">
        <f aca="false">IF(OR(B915="",I915=""),"",IFERROR(INDEX('Comment flow'!$C$40:$C$46,MATCH(I915,'Comment flow'!$A$40:$A$46,0)),""))</f>
        <v/>
      </c>
      <c r="N915" s="46" t="str">
        <f aca="false">IF(B915="","",IF(OR(I915="",I915="Open: needs a decision",L915=""),"Open","Closed"))</f>
        <v/>
      </c>
      <c r="O915" s="46"/>
      <c r="P915" s="46" t="str">
        <f aca="false">IF(OR(B915="",I915&lt;&gt;"Save for a later revision"),"",IF(COUNTIF('Deferred edits'!$K$2:$K$201,A915)&gt;0,"Yes","● Add to Deferred edits"))</f>
        <v/>
      </c>
    </row>
    <row r="916" customFormat="false" ht="15" hidden="false" customHeight="false" outlineLevel="0" collapsed="false">
      <c r="A916" s="46" t="s">
        <v>1211</v>
      </c>
      <c r="B916" s="46"/>
      <c r="C916" s="46"/>
      <c r="D916" s="46"/>
      <c r="E916" s="46"/>
      <c r="F916" s="46"/>
      <c r="G916" s="46"/>
      <c r="H916" s="46"/>
      <c r="I916" s="46"/>
      <c r="J916" s="46"/>
      <c r="K916" s="46"/>
      <c r="L916" s="46"/>
      <c r="M916" s="46" t="str">
        <f aca="false">IF(OR(B916="",I916=""),"",IFERROR(INDEX('Comment flow'!$C$40:$C$46,MATCH(I916,'Comment flow'!$A$40:$A$46,0)),""))</f>
        <v/>
      </c>
      <c r="N916" s="46" t="str">
        <f aca="false">IF(B916="","",IF(OR(I916="",I916="Open: needs a decision",L916=""),"Open","Closed"))</f>
        <v/>
      </c>
      <c r="O916" s="46"/>
      <c r="P916" s="46" t="str">
        <f aca="false">IF(OR(B916="",I916&lt;&gt;"Save for a later revision"),"",IF(COUNTIF('Deferred edits'!$K$2:$K$201,A916)&gt;0,"Yes","● Add to Deferred edits"))</f>
        <v/>
      </c>
    </row>
    <row r="917" customFormat="false" ht="15" hidden="false" customHeight="false" outlineLevel="0" collapsed="false">
      <c r="A917" s="46" t="s">
        <v>1212</v>
      </c>
      <c r="B917" s="46"/>
      <c r="C917" s="46"/>
      <c r="D917" s="46"/>
      <c r="E917" s="46"/>
      <c r="F917" s="46"/>
      <c r="G917" s="46"/>
      <c r="H917" s="46"/>
      <c r="I917" s="46"/>
      <c r="J917" s="46"/>
      <c r="K917" s="46"/>
      <c r="L917" s="46"/>
      <c r="M917" s="46" t="str">
        <f aca="false">IF(OR(B917="",I917=""),"",IFERROR(INDEX('Comment flow'!$C$40:$C$46,MATCH(I917,'Comment flow'!$A$40:$A$46,0)),""))</f>
        <v/>
      </c>
      <c r="N917" s="46" t="str">
        <f aca="false">IF(B917="","",IF(OR(I917="",I917="Open: needs a decision",L917=""),"Open","Closed"))</f>
        <v/>
      </c>
      <c r="O917" s="46"/>
      <c r="P917" s="46" t="str">
        <f aca="false">IF(OR(B917="",I917&lt;&gt;"Save for a later revision"),"",IF(COUNTIF('Deferred edits'!$K$2:$K$201,A917)&gt;0,"Yes","● Add to Deferred edits"))</f>
        <v/>
      </c>
    </row>
    <row r="918" customFormat="false" ht="15" hidden="false" customHeight="false" outlineLevel="0" collapsed="false">
      <c r="A918" s="46" t="s">
        <v>1213</v>
      </c>
      <c r="B918" s="46"/>
      <c r="C918" s="46"/>
      <c r="D918" s="46"/>
      <c r="E918" s="46"/>
      <c r="F918" s="46"/>
      <c r="G918" s="46"/>
      <c r="H918" s="46"/>
      <c r="I918" s="46"/>
      <c r="J918" s="46"/>
      <c r="K918" s="46"/>
      <c r="L918" s="46"/>
      <c r="M918" s="46" t="str">
        <f aca="false">IF(OR(B918="",I918=""),"",IFERROR(INDEX('Comment flow'!$C$40:$C$46,MATCH(I918,'Comment flow'!$A$40:$A$46,0)),""))</f>
        <v/>
      </c>
      <c r="N918" s="46" t="str">
        <f aca="false">IF(B918="","",IF(OR(I918="",I918="Open: needs a decision",L918=""),"Open","Closed"))</f>
        <v/>
      </c>
      <c r="O918" s="46"/>
      <c r="P918" s="46" t="str">
        <f aca="false">IF(OR(B918="",I918&lt;&gt;"Save for a later revision"),"",IF(COUNTIF('Deferred edits'!$K$2:$K$201,A918)&gt;0,"Yes","● Add to Deferred edits"))</f>
        <v/>
      </c>
    </row>
    <row r="919" customFormat="false" ht="15" hidden="false" customHeight="false" outlineLevel="0" collapsed="false">
      <c r="A919" s="46" t="s">
        <v>1214</v>
      </c>
      <c r="B919" s="46"/>
      <c r="C919" s="46"/>
      <c r="D919" s="46"/>
      <c r="E919" s="46"/>
      <c r="F919" s="46"/>
      <c r="G919" s="46"/>
      <c r="H919" s="46"/>
      <c r="I919" s="46"/>
      <c r="J919" s="46"/>
      <c r="K919" s="46"/>
      <c r="L919" s="46"/>
      <c r="M919" s="46" t="str">
        <f aca="false">IF(OR(B919="",I919=""),"",IFERROR(INDEX('Comment flow'!$C$40:$C$46,MATCH(I919,'Comment flow'!$A$40:$A$46,0)),""))</f>
        <v/>
      </c>
      <c r="N919" s="46" t="str">
        <f aca="false">IF(B919="","",IF(OR(I919="",I919="Open: needs a decision",L919=""),"Open","Closed"))</f>
        <v/>
      </c>
      <c r="O919" s="46"/>
      <c r="P919" s="46" t="str">
        <f aca="false">IF(OR(B919="",I919&lt;&gt;"Save for a later revision"),"",IF(COUNTIF('Deferred edits'!$K$2:$K$201,A919)&gt;0,"Yes","● Add to Deferred edits"))</f>
        <v/>
      </c>
    </row>
    <row r="920" customFormat="false" ht="15" hidden="false" customHeight="false" outlineLevel="0" collapsed="false">
      <c r="A920" s="46" t="s">
        <v>1215</v>
      </c>
      <c r="B920" s="46"/>
      <c r="C920" s="46"/>
      <c r="D920" s="46"/>
      <c r="E920" s="46"/>
      <c r="F920" s="46"/>
      <c r="G920" s="46"/>
      <c r="H920" s="46"/>
      <c r="I920" s="46"/>
      <c r="J920" s="46"/>
      <c r="K920" s="46"/>
      <c r="L920" s="46"/>
      <c r="M920" s="46" t="str">
        <f aca="false">IF(OR(B920="",I920=""),"",IFERROR(INDEX('Comment flow'!$C$40:$C$46,MATCH(I920,'Comment flow'!$A$40:$A$46,0)),""))</f>
        <v/>
      </c>
      <c r="N920" s="46" t="str">
        <f aca="false">IF(B920="","",IF(OR(I920="",I920="Open: needs a decision",L920=""),"Open","Closed"))</f>
        <v/>
      </c>
      <c r="O920" s="46"/>
      <c r="P920" s="46" t="str">
        <f aca="false">IF(OR(B920="",I920&lt;&gt;"Save for a later revision"),"",IF(COUNTIF('Deferred edits'!$K$2:$K$201,A920)&gt;0,"Yes","● Add to Deferred edits"))</f>
        <v/>
      </c>
    </row>
    <row r="921" customFormat="false" ht="15" hidden="false" customHeight="false" outlineLevel="0" collapsed="false">
      <c r="A921" s="46" t="s">
        <v>1216</v>
      </c>
      <c r="B921" s="46"/>
      <c r="C921" s="46"/>
      <c r="D921" s="46"/>
      <c r="E921" s="46"/>
      <c r="F921" s="46"/>
      <c r="G921" s="46"/>
      <c r="H921" s="46"/>
      <c r="I921" s="46"/>
      <c r="J921" s="46"/>
      <c r="K921" s="46"/>
      <c r="L921" s="46"/>
      <c r="M921" s="46" t="str">
        <f aca="false">IF(OR(B921="",I921=""),"",IFERROR(INDEX('Comment flow'!$C$40:$C$46,MATCH(I921,'Comment flow'!$A$40:$A$46,0)),""))</f>
        <v/>
      </c>
      <c r="N921" s="46" t="str">
        <f aca="false">IF(B921="","",IF(OR(I921="",I921="Open: needs a decision",L921=""),"Open","Closed"))</f>
        <v/>
      </c>
      <c r="O921" s="46"/>
      <c r="P921" s="46" t="str">
        <f aca="false">IF(OR(B921="",I921&lt;&gt;"Save for a later revision"),"",IF(COUNTIF('Deferred edits'!$K$2:$K$201,A921)&gt;0,"Yes","● Add to Deferred edits"))</f>
        <v/>
      </c>
    </row>
    <row r="922" customFormat="false" ht="15" hidden="false" customHeight="false" outlineLevel="0" collapsed="false">
      <c r="A922" s="46" t="s">
        <v>1217</v>
      </c>
      <c r="B922" s="46"/>
      <c r="C922" s="46"/>
      <c r="D922" s="46"/>
      <c r="E922" s="46"/>
      <c r="F922" s="46"/>
      <c r="G922" s="46"/>
      <c r="H922" s="46"/>
      <c r="I922" s="46"/>
      <c r="J922" s="46"/>
      <c r="K922" s="46"/>
      <c r="L922" s="46"/>
      <c r="M922" s="46" t="str">
        <f aca="false">IF(OR(B922="",I922=""),"",IFERROR(INDEX('Comment flow'!$C$40:$C$46,MATCH(I922,'Comment flow'!$A$40:$A$46,0)),""))</f>
        <v/>
      </c>
      <c r="N922" s="46" t="str">
        <f aca="false">IF(B922="","",IF(OR(I922="",I922="Open: needs a decision",L922=""),"Open","Closed"))</f>
        <v/>
      </c>
      <c r="O922" s="46"/>
      <c r="P922" s="46" t="str">
        <f aca="false">IF(OR(B922="",I922&lt;&gt;"Save for a later revision"),"",IF(COUNTIF('Deferred edits'!$K$2:$K$201,A922)&gt;0,"Yes","● Add to Deferred edits"))</f>
        <v/>
      </c>
    </row>
    <row r="923" customFormat="false" ht="15" hidden="false" customHeight="false" outlineLevel="0" collapsed="false">
      <c r="A923" s="46" t="s">
        <v>1218</v>
      </c>
      <c r="B923" s="46"/>
      <c r="C923" s="46"/>
      <c r="D923" s="46"/>
      <c r="E923" s="46"/>
      <c r="F923" s="46"/>
      <c r="G923" s="46"/>
      <c r="H923" s="46"/>
      <c r="I923" s="46"/>
      <c r="J923" s="46"/>
      <c r="K923" s="46"/>
      <c r="L923" s="46"/>
      <c r="M923" s="46" t="str">
        <f aca="false">IF(OR(B923="",I923=""),"",IFERROR(INDEX('Comment flow'!$C$40:$C$46,MATCH(I923,'Comment flow'!$A$40:$A$46,0)),""))</f>
        <v/>
      </c>
      <c r="N923" s="46" t="str">
        <f aca="false">IF(B923="","",IF(OR(I923="",I923="Open: needs a decision",L923=""),"Open","Closed"))</f>
        <v/>
      </c>
      <c r="O923" s="46"/>
      <c r="P923" s="46" t="str">
        <f aca="false">IF(OR(B923="",I923&lt;&gt;"Save for a later revision"),"",IF(COUNTIF('Deferred edits'!$K$2:$K$201,A923)&gt;0,"Yes","● Add to Deferred edits"))</f>
        <v/>
      </c>
    </row>
    <row r="924" customFormat="false" ht="15" hidden="false" customHeight="false" outlineLevel="0" collapsed="false">
      <c r="A924" s="46" t="s">
        <v>1219</v>
      </c>
      <c r="B924" s="46"/>
      <c r="C924" s="46"/>
      <c r="D924" s="46"/>
      <c r="E924" s="46"/>
      <c r="F924" s="46"/>
      <c r="G924" s="46"/>
      <c r="H924" s="46"/>
      <c r="I924" s="46"/>
      <c r="J924" s="46"/>
      <c r="K924" s="46"/>
      <c r="L924" s="46"/>
      <c r="M924" s="46" t="str">
        <f aca="false">IF(OR(B924="",I924=""),"",IFERROR(INDEX('Comment flow'!$C$40:$C$46,MATCH(I924,'Comment flow'!$A$40:$A$46,0)),""))</f>
        <v/>
      </c>
      <c r="N924" s="46" t="str">
        <f aca="false">IF(B924="","",IF(OR(I924="",I924="Open: needs a decision",L924=""),"Open","Closed"))</f>
        <v/>
      </c>
      <c r="O924" s="46"/>
      <c r="P924" s="46" t="str">
        <f aca="false">IF(OR(B924="",I924&lt;&gt;"Save for a later revision"),"",IF(COUNTIF('Deferred edits'!$K$2:$K$201,A924)&gt;0,"Yes","● Add to Deferred edits"))</f>
        <v/>
      </c>
    </row>
    <row r="925" customFormat="false" ht="15" hidden="false" customHeight="false" outlineLevel="0" collapsed="false">
      <c r="A925" s="46" t="s">
        <v>1220</v>
      </c>
      <c r="B925" s="46"/>
      <c r="C925" s="46"/>
      <c r="D925" s="46"/>
      <c r="E925" s="46"/>
      <c r="F925" s="46"/>
      <c r="G925" s="46"/>
      <c r="H925" s="46"/>
      <c r="I925" s="46"/>
      <c r="J925" s="46"/>
      <c r="K925" s="46"/>
      <c r="L925" s="46"/>
      <c r="M925" s="46" t="str">
        <f aca="false">IF(OR(B925="",I925=""),"",IFERROR(INDEX('Comment flow'!$C$40:$C$46,MATCH(I925,'Comment flow'!$A$40:$A$46,0)),""))</f>
        <v/>
      </c>
      <c r="N925" s="46" t="str">
        <f aca="false">IF(B925="","",IF(OR(I925="",I925="Open: needs a decision",L925=""),"Open","Closed"))</f>
        <v/>
      </c>
      <c r="O925" s="46"/>
      <c r="P925" s="46" t="str">
        <f aca="false">IF(OR(B925="",I925&lt;&gt;"Save for a later revision"),"",IF(COUNTIF('Deferred edits'!$K$2:$K$201,A925)&gt;0,"Yes","● Add to Deferred edits"))</f>
        <v/>
      </c>
    </row>
    <row r="926" customFormat="false" ht="15" hidden="false" customHeight="false" outlineLevel="0" collapsed="false">
      <c r="A926" s="46" t="s">
        <v>1221</v>
      </c>
      <c r="B926" s="46"/>
      <c r="C926" s="46"/>
      <c r="D926" s="46"/>
      <c r="E926" s="46"/>
      <c r="F926" s="46"/>
      <c r="G926" s="46"/>
      <c r="H926" s="46"/>
      <c r="I926" s="46"/>
      <c r="J926" s="46"/>
      <c r="K926" s="46"/>
      <c r="L926" s="46"/>
      <c r="M926" s="46" t="str">
        <f aca="false">IF(OR(B926="",I926=""),"",IFERROR(INDEX('Comment flow'!$C$40:$C$46,MATCH(I926,'Comment flow'!$A$40:$A$46,0)),""))</f>
        <v/>
      </c>
      <c r="N926" s="46" t="str">
        <f aca="false">IF(B926="","",IF(OR(I926="",I926="Open: needs a decision",L926=""),"Open","Closed"))</f>
        <v/>
      </c>
      <c r="O926" s="46"/>
      <c r="P926" s="46" t="str">
        <f aca="false">IF(OR(B926="",I926&lt;&gt;"Save for a later revision"),"",IF(COUNTIF('Deferred edits'!$K$2:$K$201,A926)&gt;0,"Yes","● Add to Deferred edits"))</f>
        <v/>
      </c>
    </row>
    <row r="927" customFormat="false" ht="15" hidden="false" customHeight="false" outlineLevel="0" collapsed="false">
      <c r="A927" s="46" t="s">
        <v>1222</v>
      </c>
      <c r="B927" s="46"/>
      <c r="C927" s="46"/>
      <c r="D927" s="46"/>
      <c r="E927" s="46"/>
      <c r="F927" s="46"/>
      <c r="G927" s="46"/>
      <c r="H927" s="46"/>
      <c r="I927" s="46"/>
      <c r="J927" s="46"/>
      <c r="K927" s="46"/>
      <c r="L927" s="46"/>
      <c r="M927" s="46" t="str">
        <f aca="false">IF(OR(B927="",I927=""),"",IFERROR(INDEX('Comment flow'!$C$40:$C$46,MATCH(I927,'Comment flow'!$A$40:$A$46,0)),""))</f>
        <v/>
      </c>
      <c r="N927" s="46" t="str">
        <f aca="false">IF(B927="","",IF(OR(I927="",I927="Open: needs a decision",L927=""),"Open","Closed"))</f>
        <v/>
      </c>
      <c r="O927" s="46"/>
      <c r="P927" s="46" t="str">
        <f aca="false">IF(OR(B927="",I927&lt;&gt;"Save for a later revision"),"",IF(COUNTIF('Deferred edits'!$K$2:$K$201,A927)&gt;0,"Yes","● Add to Deferred edits"))</f>
        <v/>
      </c>
    </row>
    <row r="928" customFormat="false" ht="15" hidden="false" customHeight="false" outlineLevel="0" collapsed="false">
      <c r="A928" s="46" t="s">
        <v>1223</v>
      </c>
      <c r="B928" s="46"/>
      <c r="C928" s="46"/>
      <c r="D928" s="46"/>
      <c r="E928" s="46"/>
      <c r="F928" s="46"/>
      <c r="G928" s="46"/>
      <c r="H928" s="46"/>
      <c r="I928" s="46"/>
      <c r="J928" s="46"/>
      <c r="K928" s="46"/>
      <c r="L928" s="46"/>
      <c r="M928" s="46" t="str">
        <f aca="false">IF(OR(B928="",I928=""),"",IFERROR(INDEX('Comment flow'!$C$40:$C$46,MATCH(I928,'Comment flow'!$A$40:$A$46,0)),""))</f>
        <v/>
      </c>
      <c r="N928" s="46" t="str">
        <f aca="false">IF(B928="","",IF(OR(I928="",I928="Open: needs a decision",L928=""),"Open","Closed"))</f>
        <v/>
      </c>
      <c r="O928" s="46"/>
      <c r="P928" s="46" t="str">
        <f aca="false">IF(OR(B928="",I928&lt;&gt;"Save for a later revision"),"",IF(COUNTIF('Deferred edits'!$K$2:$K$201,A928)&gt;0,"Yes","● Add to Deferred edits"))</f>
        <v/>
      </c>
    </row>
    <row r="929" customFormat="false" ht="15" hidden="false" customHeight="false" outlineLevel="0" collapsed="false">
      <c r="A929" s="46" t="s">
        <v>1224</v>
      </c>
      <c r="B929" s="46"/>
      <c r="C929" s="46"/>
      <c r="D929" s="46"/>
      <c r="E929" s="46"/>
      <c r="F929" s="46"/>
      <c r="G929" s="46"/>
      <c r="H929" s="46"/>
      <c r="I929" s="46"/>
      <c r="J929" s="46"/>
      <c r="K929" s="46"/>
      <c r="L929" s="46"/>
      <c r="M929" s="46" t="str">
        <f aca="false">IF(OR(B929="",I929=""),"",IFERROR(INDEX('Comment flow'!$C$40:$C$46,MATCH(I929,'Comment flow'!$A$40:$A$46,0)),""))</f>
        <v/>
      </c>
      <c r="N929" s="46" t="str">
        <f aca="false">IF(B929="","",IF(OR(I929="",I929="Open: needs a decision",L929=""),"Open","Closed"))</f>
        <v/>
      </c>
      <c r="O929" s="46"/>
      <c r="P929" s="46" t="str">
        <f aca="false">IF(OR(B929="",I929&lt;&gt;"Save for a later revision"),"",IF(COUNTIF('Deferred edits'!$K$2:$K$201,A929)&gt;0,"Yes","● Add to Deferred edits"))</f>
        <v/>
      </c>
    </row>
    <row r="930" customFormat="false" ht="15" hidden="false" customHeight="false" outlineLevel="0" collapsed="false">
      <c r="A930" s="46" t="s">
        <v>1225</v>
      </c>
      <c r="B930" s="46"/>
      <c r="C930" s="46"/>
      <c r="D930" s="46"/>
      <c r="E930" s="46"/>
      <c r="F930" s="46"/>
      <c r="G930" s="46"/>
      <c r="H930" s="46"/>
      <c r="I930" s="46"/>
      <c r="J930" s="46"/>
      <c r="K930" s="46"/>
      <c r="L930" s="46"/>
      <c r="M930" s="46" t="str">
        <f aca="false">IF(OR(B930="",I930=""),"",IFERROR(INDEX('Comment flow'!$C$40:$C$46,MATCH(I930,'Comment flow'!$A$40:$A$46,0)),""))</f>
        <v/>
      </c>
      <c r="N930" s="46" t="str">
        <f aca="false">IF(B930="","",IF(OR(I930="",I930="Open: needs a decision",L930=""),"Open","Closed"))</f>
        <v/>
      </c>
      <c r="O930" s="46"/>
      <c r="P930" s="46" t="str">
        <f aca="false">IF(OR(B930="",I930&lt;&gt;"Save for a later revision"),"",IF(COUNTIF('Deferred edits'!$K$2:$K$201,A930)&gt;0,"Yes","● Add to Deferred edits"))</f>
        <v/>
      </c>
    </row>
    <row r="931" customFormat="false" ht="15" hidden="false" customHeight="false" outlineLevel="0" collapsed="false">
      <c r="A931" s="46" t="s">
        <v>1226</v>
      </c>
      <c r="B931" s="46"/>
      <c r="C931" s="46"/>
      <c r="D931" s="46"/>
      <c r="E931" s="46"/>
      <c r="F931" s="46"/>
      <c r="G931" s="46"/>
      <c r="H931" s="46"/>
      <c r="I931" s="46"/>
      <c r="J931" s="46"/>
      <c r="K931" s="46"/>
      <c r="L931" s="46"/>
      <c r="M931" s="46" t="str">
        <f aca="false">IF(OR(B931="",I931=""),"",IFERROR(INDEX('Comment flow'!$C$40:$C$46,MATCH(I931,'Comment flow'!$A$40:$A$46,0)),""))</f>
        <v/>
      </c>
      <c r="N931" s="46" t="str">
        <f aca="false">IF(B931="","",IF(OR(I931="",I931="Open: needs a decision",L931=""),"Open","Closed"))</f>
        <v/>
      </c>
      <c r="O931" s="46"/>
      <c r="P931" s="46" t="str">
        <f aca="false">IF(OR(B931="",I931&lt;&gt;"Save for a later revision"),"",IF(COUNTIF('Deferred edits'!$K$2:$K$201,A931)&gt;0,"Yes","● Add to Deferred edits"))</f>
        <v/>
      </c>
    </row>
    <row r="932" customFormat="false" ht="15" hidden="false" customHeight="false" outlineLevel="0" collapsed="false">
      <c r="A932" s="46" t="s">
        <v>1227</v>
      </c>
      <c r="B932" s="46"/>
      <c r="C932" s="46"/>
      <c r="D932" s="46"/>
      <c r="E932" s="46"/>
      <c r="F932" s="46"/>
      <c r="G932" s="46"/>
      <c r="H932" s="46"/>
      <c r="I932" s="46"/>
      <c r="J932" s="46"/>
      <c r="K932" s="46"/>
      <c r="L932" s="46"/>
      <c r="M932" s="46" t="str">
        <f aca="false">IF(OR(B932="",I932=""),"",IFERROR(INDEX('Comment flow'!$C$40:$C$46,MATCH(I932,'Comment flow'!$A$40:$A$46,0)),""))</f>
        <v/>
      </c>
      <c r="N932" s="46" t="str">
        <f aca="false">IF(B932="","",IF(OR(I932="",I932="Open: needs a decision",L932=""),"Open","Closed"))</f>
        <v/>
      </c>
      <c r="O932" s="46"/>
      <c r="P932" s="46" t="str">
        <f aca="false">IF(OR(B932="",I932&lt;&gt;"Save for a later revision"),"",IF(COUNTIF('Deferred edits'!$K$2:$K$201,A932)&gt;0,"Yes","● Add to Deferred edits"))</f>
        <v/>
      </c>
    </row>
    <row r="933" customFormat="false" ht="15" hidden="false" customHeight="false" outlineLevel="0" collapsed="false">
      <c r="A933" s="46" t="s">
        <v>1228</v>
      </c>
      <c r="B933" s="46"/>
      <c r="C933" s="46"/>
      <c r="D933" s="46"/>
      <c r="E933" s="46"/>
      <c r="F933" s="46"/>
      <c r="G933" s="46"/>
      <c r="H933" s="46"/>
      <c r="I933" s="46"/>
      <c r="J933" s="46"/>
      <c r="K933" s="46"/>
      <c r="L933" s="46"/>
      <c r="M933" s="46" t="str">
        <f aca="false">IF(OR(B933="",I933=""),"",IFERROR(INDEX('Comment flow'!$C$40:$C$46,MATCH(I933,'Comment flow'!$A$40:$A$46,0)),""))</f>
        <v/>
      </c>
      <c r="N933" s="46" t="str">
        <f aca="false">IF(B933="","",IF(OR(I933="",I933="Open: needs a decision",L933=""),"Open","Closed"))</f>
        <v/>
      </c>
      <c r="O933" s="46"/>
      <c r="P933" s="46" t="str">
        <f aca="false">IF(OR(B933="",I933&lt;&gt;"Save for a later revision"),"",IF(COUNTIF('Deferred edits'!$K$2:$K$201,A933)&gt;0,"Yes","● Add to Deferred edits"))</f>
        <v/>
      </c>
    </row>
    <row r="934" customFormat="false" ht="15" hidden="false" customHeight="false" outlineLevel="0" collapsed="false">
      <c r="A934" s="46" t="s">
        <v>1229</v>
      </c>
      <c r="B934" s="46"/>
      <c r="C934" s="46"/>
      <c r="D934" s="46"/>
      <c r="E934" s="46"/>
      <c r="F934" s="46"/>
      <c r="G934" s="46"/>
      <c r="H934" s="46"/>
      <c r="I934" s="46"/>
      <c r="J934" s="46"/>
      <c r="K934" s="46"/>
      <c r="L934" s="46"/>
      <c r="M934" s="46" t="str">
        <f aca="false">IF(OR(B934="",I934=""),"",IFERROR(INDEX('Comment flow'!$C$40:$C$46,MATCH(I934,'Comment flow'!$A$40:$A$46,0)),""))</f>
        <v/>
      </c>
      <c r="N934" s="46" t="str">
        <f aca="false">IF(B934="","",IF(OR(I934="",I934="Open: needs a decision",L934=""),"Open","Closed"))</f>
        <v/>
      </c>
      <c r="O934" s="46"/>
      <c r="P934" s="46" t="str">
        <f aca="false">IF(OR(B934="",I934&lt;&gt;"Save for a later revision"),"",IF(COUNTIF('Deferred edits'!$K$2:$K$201,A934)&gt;0,"Yes","● Add to Deferred edits"))</f>
        <v/>
      </c>
    </row>
    <row r="935" customFormat="false" ht="15" hidden="false" customHeight="false" outlineLevel="0" collapsed="false">
      <c r="A935" s="46" t="s">
        <v>1230</v>
      </c>
      <c r="B935" s="46"/>
      <c r="C935" s="46"/>
      <c r="D935" s="46"/>
      <c r="E935" s="46"/>
      <c r="F935" s="46"/>
      <c r="G935" s="46"/>
      <c r="H935" s="46"/>
      <c r="I935" s="46"/>
      <c r="J935" s="46"/>
      <c r="K935" s="46"/>
      <c r="L935" s="46"/>
      <c r="M935" s="46" t="str">
        <f aca="false">IF(OR(B935="",I935=""),"",IFERROR(INDEX('Comment flow'!$C$40:$C$46,MATCH(I935,'Comment flow'!$A$40:$A$46,0)),""))</f>
        <v/>
      </c>
      <c r="N935" s="46" t="str">
        <f aca="false">IF(B935="","",IF(OR(I935="",I935="Open: needs a decision",L935=""),"Open","Closed"))</f>
        <v/>
      </c>
      <c r="O935" s="46"/>
      <c r="P935" s="46" t="str">
        <f aca="false">IF(OR(B935="",I935&lt;&gt;"Save for a later revision"),"",IF(COUNTIF('Deferred edits'!$K$2:$K$201,A935)&gt;0,"Yes","● Add to Deferred edits"))</f>
        <v/>
      </c>
    </row>
    <row r="936" customFormat="false" ht="15" hidden="false" customHeight="false" outlineLevel="0" collapsed="false">
      <c r="A936" s="46" t="s">
        <v>1231</v>
      </c>
      <c r="B936" s="46"/>
      <c r="C936" s="46"/>
      <c r="D936" s="46"/>
      <c r="E936" s="46"/>
      <c r="F936" s="46"/>
      <c r="G936" s="46"/>
      <c r="H936" s="46"/>
      <c r="I936" s="46"/>
      <c r="J936" s="46"/>
      <c r="K936" s="46"/>
      <c r="L936" s="46"/>
      <c r="M936" s="46" t="str">
        <f aca="false">IF(OR(B936="",I936=""),"",IFERROR(INDEX('Comment flow'!$C$40:$C$46,MATCH(I936,'Comment flow'!$A$40:$A$46,0)),""))</f>
        <v/>
      </c>
      <c r="N936" s="46" t="str">
        <f aca="false">IF(B936="","",IF(OR(I936="",I936="Open: needs a decision",L936=""),"Open","Closed"))</f>
        <v/>
      </c>
      <c r="O936" s="46"/>
      <c r="P936" s="46" t="str">
        <f aca="false">IF(OR(B936="",I936&lt;&gt;"Save for a later revision"),"",IF(COUNTIF('Deferred edits'!$K$2:$K$201,A936)&gt;0,"Yes","● Add to Deferred edits"))</f>
        <v/>
      </c>
    </row>
    <row r="937" customFormat="false" ht="15" hidden="false" customHeight="false" outlineLevel="0" collapsed="false">
      <c r="A937" s="46" t="s">
        <v>1232</v>
      </c>
      <c r="B937" s="46"/>
      <c r="C937" s="46"/>
      <c r="D937" s="46"/>
      <c r="E937" s="46"/>
      <c r="F937" s="46"/>
      <c r="G937" s="46"/>
      <c r="H937" s="46"/>
      <c r="I937" s="46"/>
      <c r="J937" s="46"/>
      <c r="K937" s="46"/>
      <c r="L937" s="46"/>
      <c r="M937" s="46" t="str">
        <f aca="false">IF(OR(B937="",I937=""),"",IFERROR(INDEX('Comment flow'!$C$40:$C$46,MATCH(I937,'Comment flow'!$A$40:$A$46,0)),""))</f>
        <v/>
      </c>
      <c r="N937" s="46" t="str">
        <f aca="false">IF(B937="","",IF(OR(I937="",I937="Open: needs a decision",L937=""),"Open","Closed"))</f>
        <v/>
      </c>
      <c r="O937" s="46"/>
      <c r="P937" s="46" t="str">
        <f aca="false">IF(OR(B937="",I937&lt;&gt;"Save for a later revision"),"",IF(COUNTIF('Deferred edits'!$K$2:$K$201,A937)&gt;0,"Yes","● Add to Deferred edits"))</f>
        <v/>
      </c>
    </row>
    <row r="938" customFormat="false" ht="15" hidden="false" customHeight="false" outlineLevel="0" collapsed="false">
      <c r="A938" s="46" t="s">
        <v>1233</v>
      </c>
      <c r="B938" s="46"/>
      <c r="C938" s="46"/>
      <c r="D938" s="46"/>
      <c r="E938" s="46"/>
      <c r="F938" s="46"/>
      <c r="G938" s="46"/>
      <c r="H938" s="46"/>
      <c r="I938" s="46"/>
      <c r="J938" s="46"/>
      <c r="K938" s="46"/>
      <c r="L938" s="46"/>
      <c r="M938" s="46" t="str">
        <f aca="false">IF(OR(B938="",I938=""),"",IFERROR(INDEX('Comment flow'!$C$40:$C$46,MATCH(I938,'Comment flow'!$A$40:$A$46,0)),""))</f>
        <v/>
      </c>
      <c r="N938" s="46" t="str">
        <f aca="false">IF(B938="","",IF(OR(I938="",I938="Open: needs a decision",L938=""),"Open","Closed"))</f>
        <v/>
      </c>
      <c r="O938" s="46"/>
      <c r="P938" s="46" t="str">
        <f aca="false">IF(OR(B938="",I938&lt;&gt;"Save for a later revision"),"",IF(COUNTIF('Deferred edits'!$K$2:$K$201,A938)&gt;0,"Yes","● Add to Deferred edits"))</f>
        <v/>
      </c>
    </row>
    <row r="939" customFormat="false" ht="15" hidden="false" customHeight="false" outlineLevel="0" collapsed="false">
      <c r="A939" s="46" t="s">
        <v>1234</v>
      </c>
      <c r="B939" s="46"/>
      <c r="C939" s="46"/>
      <c r="D939" s="46"/>
      <c r="E939" s="46"/>
      <c r="F939" s="46"/>
      <c r="G939" s="46"/>
      <c r="H939" s="46"/>
      <c r="I939" s="46"/>
      <c r="J939" s="46"/>
      <c r="K939" s="46"/>
      <c r="L939" s="46"/>
      <c r="M939" s="46" t="str">
        <f aca="false">IF(OR(B939="",I939=""),"",IFERROR(INDEX('Comment flow'!$C$40:$C$46,MATCH(I939,'Comment flow'!$A$40:$A$46,0)),""))</f>
        <v/>
      </c>
      <c r="N939" s="46" t="str">
        <f aca="false">IF(B939="","",IF(OR(I939="",I939="Open: needs a decision",L939=""),"Open","Closed"))</f>
        <v/>
      </c>
      <c r="O939" s="46"/>
      <c r="P939" s="46" t="str">
        <f aca="false">IF(OR(B939="",I939&lt;&gt;"Save for a later revision"),"",IF(COUNTIF('Deferred edits'!$K$2:$K$201,A939)&gt;0,"Yes","● Add to Deferred edits"))</f>
        <v/>
      </c>
    </row>
    <row r="940" customFormat="false" ht="15" hidden="false" customHeight="false" outlineLevel="0" collapsed="false">
      <c r="A940" s="46" t="s">
        <v>1235</v>
      </c>
      <c r="B940" s="46"/>
      <c r="C940" s="46"/>
      <c r="D940" s="46"/>
      <c r="E940" s="46"/>
      <c r="F940" s="46"/>
      <c r="G940" s="46"/>
      <c r="H940" s="46"/>
      <c r="I940" s="46"/>
      <c r="J940" s="46"/>
      <c r="K940" s="46"/>
      <c r="L940" s="46"/>
      <c r="M940" s="46" t="str">
        <f aca="false">IF(OR(B940="",I940=""),"",IFERROR(INDEX('Comment flow'!$C$40:$C$46,MATCH(I940,'Comment flow'!$A$40:$A$46,0)),""))</f>
        <v/>
      </c>
      <c r="N940" s="46" t="str">
        <f aca="false">IF(B940="","",IF(OR(I940="",I940="Open: needs a decision",L940=""),"Open","Closed"))</f>
        <v/>
      </c>
      <c r="O940" s="46"/>
      <c r="P940" s="46" t="str">
        <f aca="false">IF(OR(B940="",I940&lt;&gt;"Save for a later revision"),"",IF(COUNTIF('Deferred edits'!$K$2:$K$201,A940)&gt;0,"Yes","● Add to Deferred edits"))</f>
        <v/>
      </c>
    </row>
    <row r="941" customFormat="false" ht="15" hidden="false" customHeight="false" outlineLevel="0" collapsed="false">
      <c r="A941" s="46" t="s">
        <v>1236</v>
      </c>
      <c r="B941" s="46"/>
      <c r="C941" s="46"/>
      <c r="D941" s="46"/>
      <c r="E941" s="46"/>
      <c r="F941" s="46"/>
      <c r="G941" s="46"/>
      <c r="H941" s="46"/>
      <c r="I941" s="46"/>
      <c r="J941" s="46"/>
      <c r="K941" s="46"/>
      <c r="L941" s="46"/>
      <c r="M941" s="46" t="str">
        <f aca="false">IF(OR(B941="",I941=""),"",IFERROR(INDEX('Comment flow'!$C$40:$C$46,MATCH(I941,'Comment flow'!$A$40:$A$46,0)),""))</f>
        <v/>
      </c>
      <c r="N941" s="46" t="str">
        <f aca="false">IF(B941="","",IF(OR(I941="",I941="Open: needs a decision",L941=""),"Open","Closed"))</f>
        <v/>
      </c>
      <c r="O941" s="46"/>
      <c r="P941" s="46" t="str">
        <f aca="false">IF(OR(B941="",I941&lt;&gt;"Save for a later revision"),"",IF(COUNTIF('Deferred edits'!$K$2:$K$201,A941)&gt;0,"Yes","● Add to Deferred edits"))</f>
        <v/>
      </c>
    </row>
    <row r="942" customFormat="false" ht="15" hidden="false" customHeight="false" outlineLevel="0" collapsed="false">
      <c r="A942" s="46" t="s">
        <v>1237</v>
      </c>
      <c r="B942" s="46"/>
      <c r="C942" s="46"/>
      <c r="D942" s="46"/>
      <c r="E942" s="46"/>
      <c r="F942" s="46"/>
      <c r="G942" s="46"/>
      <c r="H942" s="46"/>
      <c r="I942" s="46"/>
      <c r="J942" s="46"/>
      <c r="K942" s="46"/>
      <c r="L942" s="46"/>
      <c r="M942" s="46" t="str">
        <f aca="false">IF(OR(B942="",I942=""),"",IFERROR(INDEX('Comment flow'!$C$40:$C$46,MATCH(I942,'Comment flow'!$A$40:$A$46,0)),""))</f>
        <v/>
      </c>
      <c r="N942" s="46" t="str">
        <f aca="false">IF(B942="","",IF(OR(I942="",I942="Open: needs a decision",L942=""),"Open","Closed"))</f>
        <v/>
      </c>
      <c r="O942" s="46"/>
      <c r="P942" s="46" t="str">
        <f aca="false">IF(OR(B942="",I942&lt;&gt;"Save for a later revision"),"",IF(COUNTIF('Deferred edits'!$K$2:$K$201,A942)&gt;0,"Yes","● Add to Deferred edits"))</f>
        <v/>
      </c>
    </row>
    <row r="943" customFormat="false" ht="15" hidden="false" customHeight="false" outlineLevel="0" collapsed="false">
      <c r="A943" s="46" t="s">
        <v>1238</v>
      </c>
      <c r="B943" s="46"/>
      <c r="C943" s="46"/>
      <c r="D943" s="46"/>
      <c r="E943" s="46"/>
      <c r="F943" s="46"/>
      <c r="G943" s="46"/>
      <c r="H943" s="46"/>
      <c r="I943" s="46"/>
      <c r="J943" s="46"/>
      <c r="K943" s="46"/>
      <c r="L943" s="46"/>
      <c r="M943" s="46" t="str">
        <f aca="false">IF(OR(B943="",I943=""),"",IFERROR(INDEX('Comment flow'!$C$40:$C$46,MATCH(I943,'Comment flow'!$A$40:$A$46,0)),""))</f>
        <v/>
      </c>
      <c r="N943" s="46" t="str">
        <f aca="false">IF(B943="","",IF(OR(I943="",I943="Open: needs a decision",L943=""),"Open","Closed"))</f>
        <v/>
      </c>
      <c r="O943" s="46"/>
      <c r="P943" s="46" t="str">
        <f aca="false">IF(OR(B943="",I943&lt;&gt;"Save for a later revision"),"",IF(COUNTIF('Deferred edits'!$K$2:$K$201,A943)&gt;0,"Yes","● Add to Deferred edits"))</f>
        <v/>
      </c>
    </row>
    <row r="944" customFormat="false" ht="15" hidden="false" customHeight="false" outlineLevel="0" collapsed="false">
      <c r="A944" s="46" t="s">
        <v>1239</v>
      </c>
      <c r="B944" s="46"/>
      <c r="C944" s="46"/>
      <c r="D944" s="46"/>
      <c r="E944" s="46"/>
      <c r="F944" s="46"/>
      <c r="G944" s="46"/>
      <c r="H944" s="46"/>
      <c r="I944" s="46"/>
      <c r="J944" s="46"/>
      <c r="K944" s="46"/>
      <c r="L944" s="46"/>
      <c r="M944" s="46" t="str">
        <f aca="false">IF(OR(B944="",I944=""),"",IFERROR(INDEX('Comment flow'!$C$40:$C$46,MATCH(I944,'Comment flow'!$A$40:$A$46,0)),""))</f>
        <v/>
      </c>
      <c r="N944" s="46" t="str">
        <f aca="false">IF(B944="","",IF(OR(I944="",I944="Open: needs a decision",L944=""),"Open","Closed"))</f>
        <v/>
      </c>
      <c r="O944" s="46"/>
      <c r="P944" s="46" t="str">
        <f aca="false">IF(OR(B944="",I944&lt;&gt;"Save for a later revision"),"",IF(COUNTIF('Deferred edits'!$K$2:$K$201,A944)&gt;0,"Yes","● Add to Deferred edits"))</f>
        <v/>
      </c>
    </row>
    <row r="945" customFormat="false" ht="15" hidden="false" customHeight="false" outlineLevel="0" collapsed="false">
      <c r="A945" s="46" t="s">
        <v>1240</v>
      </c>
      <c r="B945" s="46"/>
      <c r="C945" s="46"/>
      <c r="D945" s="46"/>
      <c r="E945" s="46"/>
      <c r="F945" s="46"/>
      <c r="G945" s="46"/>
      <c r="H945" s="46"/>
      <c r="I945" s="46"/>
      <c r="J945" s="46"/>
      <c r="K945" s="46"/>
      <c r="L945" s="46"/>
      <c r="M945" s="46" t="str">
        <f aca="false">IF(OR(B945="",I945=""),"",IFERROR(INDEX('Comment flow'!$C$40:$C$46,MATCH(I945,'Comment flow'!$A$40:$A$46,0)),""))</f>
        <v/>
      </c>
      <c r="N945" s="46" t="str">
        <f aca="false">IF(B945="","",IF(OR(I945="",I945="Open: needs a decision",L945=""),"Open","Closed"))</f>
        <v/>
      </c>
      <c r="O945" s="46"/>
      <c r="P945" s="46" t="str">
        <f aca="false">IF(OR(B945="",I945&lt;&gt;"Save for a later revision"),"",IF(COUNTIF('Deferred edits'!$K$2:$K$201,A945)&gt;0,"Yes","● Add to Deferred edits"))</f>
        <v/>
      </c>
    </row>
    <row r="946" customFormat="false" ht="15" hidden="false" customHeight="false" outlineLevel="0" collapsed="false">
      <c r="A946" s="46" t="s">
        <v>1241</v>
      </c>
      <c r="B946" s="46"/>
      <c r="C946" s="46"/>
      <c r="D946" s="46"/>
      <c r="E946" s="46"/>
      <c r="F946" s="46"/>
      <c r="G946" s="46"/>
      <c r="H946" s="46"/>
      <c r="I946" s="46"/>
      <c r="J946" s="46"/>
      <c r="K946" s="46"/>
      <c r="L946" s="46"/>
      <c r="M946" s="46" t="str">
        <f aca="false">IF(OR(B946="",I946=""),"",IFERROR(INDEX('Comment flow'!$C$40:$C$46,MATCH(I946,'Comment flow'!$A$40:$A$46,0)),""))</f>
        <v/>
      </c>
      <c r="N946" s="46" t="str">
        <f aca="false">IF(B946="","",IF(OR(I946="",I946="Open: needs a decision",L946=""),"Open","Closed"))</f>
        <v/>
      </c>
      <c r="O946" s="46"/>
      <c r="P946" s="46" t="str">
        <f aca="false">IF(OR(B946="",I946&lt;&gt;"Save for a later revision"),"",IF(COUNTIF('Deferred edits'!$K$2:$K$201,A946)&gt;0,"Yes","● Add to Deferred edits"))</f>
        <v/>
      </c>
    </row>
    <row r="947" customFormat="false" ht="15" hidden="false" customHeight="false" outlineLevel="0" collapsed="false">
      <c r="A947" s="46" t="s">
        <v>1242</v>
      </c>
      <c r="B947" s="46"/>
      <c r="C947" s="46"/>
      <c r="D947" s="46"/>
      <c r="E947" s="46"/>
      <c r="F947" s="46"/>
      <c r="G947" s="46"/>
      <c r="H947" s="46"/>
      <c r="I947" s="46"/>
      <c r="J947" s="46"/>
      <c r="K947" s="46"/>
      <c r="L947" s="46"/>
      <c r="M947" s="46" t="str">
        <f aca="false">IF(OR(B947="",I947=""),"",IFERROR(INDEX('Comment flow'!$C$40:$C$46,MATCH(I947,'Comment flow'!$A$40:$A$46,0)),""))</f>
        <v/>
      </c>
      <c r="N947" s="46" t="str">
        <f aca="false">IF(B947="","",IF(OR(I947="",I947="Open: needs a decision",L947=""),"Open","Closed"))</f>
        <v/>
      </c>
      <c r="O947" s="46"/>
      <c r="P947" s="46" t="str">
        <f aca="false">IF(OR(B947="",I947&lt;&gt;"Save for a later revision"),"",IF(COUNTIF('Deferred edits'!$K$2:$K$201,A947)&gt;0,"Yes","● Add to Deferred edits"))</f>
        <v/>
      </c>
    </row>
    <row r="948" customFormat="false" ht="15" hidden="false" customHeight="false" outlineLevel="0" collapsed="false">
      <c r="A948" s="46" t="s">
        <v>1243</v>
      </c>
      <c r="B948" s="46"/>
      <c r="C948" s="46"/>
      <c r="D948" s="46"/>
      <c r="E948" s="46"/>
      <c r="F948" s="46"/>
      <c r="G948" s="46"/>
      <c r="H948" s="46"/>
      <c r="I948" s="46"/>
      <c r="J948" s="46"/>
      <c r="K948" s="46"/>
      <c r="L948" s="46"/>
      <c r="M948" s="46" t="str">
        <f aca="false">IF(OR(B948="",I948=""),"",IFERROR(INDEX('Comment flow'!$C$40:$C$46,MATCH(I948,'Comment flow'!$A$40:$A$46,0)),""))</f>
        <v/>
      </c>
      <c r="N948" s="46" t="str">
        <f aca="false">IF(B948="","",IF(OR(I948="",I948="Open: needs a decision",L948=""),"Open","Closed"))</f>
        <v/>
      </c>
      <c r="O948" s="46"/>
      <c r="P948" s="46" t="str">
        <f aca="false">IF(OR(B948="",I948&lt;&gt;"Save for a later revision"),"",IF(COUNTIF('Deferred edits'!$K$2:$K$201,A948)&gt;0,"Yes","● Add to Deferred edits"))</f>
        <v/>
      </c>
    </row>
    <row r="949" customFormat="false" ht="15" hidden="false" customHeight="false" outlineLevel="0" collapsed="false">
      <c r="A949" s="46" t="s">
        <v>1244</v>
      </c>
      <c r="B949" s="46"/>
      <c r="C949" s="46"/>
      <c r="D949" s="46"/>
      <c r="E949" s="46"/>
      <c r="F949" s="46"/>
      <c r="G949" s="46"/>
      <c r="H949" s="46"/>
      <c r="I949" s="46"/>
      <c r="J949" s="46"/>
      <c r="K949" s="46"/>
      <c r="L949" s="46"/>
      <c r="M949" s="46" t="str">
        <f aca="false">IF(OR(B949="",I949=""),"",IFERROR(INDEX('Comment flow'!$C$40:$C$46,MATCH(I949,'Comment flow'!$A$40:$A$46,0)),""))</f>
        <v/>
      </c>
      <c r="N949" s="46" t="str">
        <f aca="false">IF(B949="","",IF(OR(I949="",I949="Open: needs a decision",L949=""),"Open","Closed"))</f>
        <v/>
      </c>
      <c r="O949" s="46"/>
      <c r="P949" s="46" t="str">
        <f aca="false">IF(OR(B949="",I949&lt;&gt;"Save for a later revision"),"",IF(COUNTIF('Deferred edits'!$K$2:$K$201,A949)&gt;0,"Yes","● Add to Deferred edits"))</f>
        <v/>
      </c>
    </row>
    <row r="950" customFormat="false" ht="15" hidden="false" customHeight="false" outlineLevel="0" collapsed="false">
      <c r="A950" s="46" t="s">
        <v>1245</v>
      </c>
      <c r="B950" s="46"/>
      <c r="C950" s="46"/>
      <c r="D950" s="46"/>
      <c r="E950" s="46"/>
      <c r="F950" s="46"/>
      <c r="G950" s="46"/>
      <c r="H950" s="46"/>
      <c r="I950" s="46"/>
      <c r="J950" s="46"/>
      <c r="K950" s="46"/>
      <c r="L950" s="46"/>
      <c r="M950" s="46" t="str">
        <f aca="false">IF(OR(B950="",I950=""),"",IFERROR(INDEX('Comment flow'!$C$40:$C$46,MATCH(I950,'Comment flow'!$A$40:$A$46,0)),""))</f>
        <v/>
      </c>
      <c r="N950" s="46" t="str">
        <f aca="false">IF(B950="","",IF(OR(I950="",I950="Open: needs a decision",L950=""),"Open","Closed"))</f>
        <v/>
      </c>
      <c r="O950" s="46"/>
      <c r="P950" s="46" t="str">
        <f aca="false">IF(OR(B950="",I950&lt;&gt;"Save for a later revision"),"",IF(COUNTIF('Deferred edits'!$K$2:$K$201,A950)&gt;0,"Yes","● Add to Deferred edits"))</f>
        <v/>
      </c>
    </row>
    <row r="951" customFormat="false" ht="15" hidden="false" customHeight="false" outlineLevel="0" collapsed="false">
      <c r="A951" s="46" t="s">
        <v>1246</v>
      </c>
      <c r="B951" s="46"/>
      <c r="C951" s="46"/>
      <c r="D951" s="46"/>
      <c r="E951" s="46"/>
      <c r="F951" s="46"/>
      <c r="G951" s="46"/>
      <c r="H951" s="46"/>
      <c r="I951" s="46"/>
      <c r="J951" s="46"/>
      <c r="K951" s="46"/>
      <c r="L951" s="46"/>
      <c r="M951" s="46" t="str">
        <f aca="false">IF(OR(B951="",I951=""),"",IFERROR(INDEX('Comment flow'!$C$40:$C$46,MATCH(I951,'Comment flow'!$A$40:$A$46,0)),""))</f>
        <v/>
      </c>
      <c r="N951" s="46" t="str">
        <f aca="false">IF(B951="","",IF(OR(I951="",I951="Open: needs a decision",L951=""),"Open","Closed"))</f>
        <v/>
      </c>
      <c r="O951" s="46"/>
      <c r="P951" s="46" t="str">
        <f aca="false">IF(OR(B951="",I951&lt;&gt;"Save for a later revision"),"",IF(COUNTIF('Deferred edits'!$K$2:$K$201,A951)&gt;0,"Yes","● Add to Deferred edits"))</f>
        <v/>
      </c>
    </row>
    <row r="952" customFormat="false" ht="15" hidden="false" customHeight="false" outlineLevel="0" collapsed="false">
      <c r="A952" s="46" t="s">
        <v>1247</v>
      </c>
      <c r="B952" s="46"/>
      <c r="C952" s="46"/>
      <c r="D952" s="46"/>
      <c r="E952" s="46"/>
      <c r="F952" s="46"/>
      <c r="G952" s="46"/>
      <c r="H952" s="46"/>
      <c r="I952" s="46"/>
      <c r="J952" s="46"/>
      <c r="K952" s="46"/>
      <c r="L952" s="46"/>
      <c r="M952" s="46" t="str">
        <f aca="false">IF(OR(B952="",I952=""),"",IFERROR(INDEX('Comment flow'!$C$40:$C$46,MATCH(I952,'Comment flow'!$A$40:$A$46,0)),""))</f>
        <v/>
      </c>
      <c r="N952" s="46" t="str">
        <f aca="false">IF(B952="","",IF(OR(I952="",I952="Open: needs a decision",L952=""),"Open","Closed"))</f>
        <v/>
      </c>
      <c r="O952" s="46"/>
      <c r="P952" s="46" t="str">
        <f aca="false">IF(OR(B952="",I952&lt;&gt;"Save for a later revision"),"",IF(COUNTIF('Deferred edits'!$K$2:$K$201,A952)&gt;0,"Yes","● Add to Deferred edits"))</f>
        <v/>
      </c>
    </row>
    <row r="953" customFormat="false" ht="15" hidden="false" customHeight="false" outlineLevel="0" collapsed="false">
      <c r="A953" s="46" t="s">
        <v>1248</v>
      </c>
      <c r="B953" s="46"/>
      <c r="C953" s="46"/>
      <c r="D953" s="46"/>
      <c r="E953" s="46"/>
      <c r="F953" s="46"/>
      <c r="G953" s="46"/>
      <c r="H953" s="46"/>
      <c r="I953" s="46"/>
      <c r="J953" s="46"/>
      <c r="K953" s="46"/>
      <c r="L953" s="46"/>
      <c r="M953" s="46" t="str">
        <f aca="false">IF(OR(B953="",I953=""),"",IFERROR(INDEX('Comment flow'!$C$40:$C$46,MATCH(I953,'Comment flow'!$A$40:$A$46,0)),""))</f>
        <v/>
      </c>
      <c r="N953" s="46" t="str">
        <f aca="false">IF(B953="","",IF(OR(I953="",I953="Open: needs a decision",L953=""),"Open","Closed"))</f>
        <v/>
      </c>
      <c r="O953" s="46"/>
      <c r="P953" s="46" t="str">
        <f aca="false">IF(OR(B953="",I953&lt;&gt;"Save for a later revision"),"",IF(COUNTIF('Deferred edits'!$K$2:$K$201,A953)&gt;0,"Yes","● Add to Deferred edits"))</f>
        <v/>
      </c>
    </row>
    <row r="954" customFormat="false" ht="15" hidden="false" customHeight="false" outlineLevel="0" collapsed="false">
      <c r="A954" s="46" t="s">
        <v>1249</v>
      </c>
      <c r="B954" s="46"/>
      <c r="C954" s="46"/>
      <c r="D954" s="46"/>
      <c r="E954" s="46"/>
      <c r="F954" s="46"/>
      <c r="G954" s="46"/>
      <c r="H954" s="46"/>
      <c r="I954" s="46"/>
      <c r="J954" s="46"/>
      <c r="K954" s="46"/>
      <c r="L954" s="46"/>
      <c r="M954" s="46" t="str">
        <f aca="false">IF(OR(B954="",I954=""),"",IFERROR(INDEX('Comment flow'!$C$40:$C$46,MATCH(I954,'Comment flow'!$A$40:$A$46,0)),""))</f>
        <v/>
      </c>
      <c r="N954" s="46" t="str">
        <f aca="false">IF(B954="","",IF(OR(I954="",I954="Open: needs a decision",L954=""),"Open","Closed"))</f>
        <v/>
      </c>
      <c r="O954" s="46"/>
      <c r="P954" s="46" t="str">
        <f aca="false">IF(OR(B954="",I954&lt;&gt;"Save for a later revision"),"",IF(COUNTIF('Deferred edits'!$K$2:$K$201,A954)&gt;0,"Yes","● Add to Deferred edits"))</f>
        <v/>
      </c>
    </row>
    <row r="955" customFormat="false" ht="15" hidden="false" customHeight="false" outlineLevel="0" collapsed="false">
      <c r="A955" s="46" t="s">
        <v>1250</v>
      </c>
      <c r="B955" s="46"/>
      <c r="C955" s="46"/>
      <c r="D955" s="46"/>
      <c r="E955" s="46"/>
      <c r="F955" s="46"/>
      <c r="G955" s="46"/>
      <c r="H955" s="46"/>
      <c r="I955" s="46"/>
      <c r="J955" s="46"/>
      <c r="K955" s="46"/>
      <c r="L955" s="46"/>
      <c r="M955" s="46" t="str">
        <f aca="false">IF(OR(B955="",I955=""),"",IFERROR(INDEX('Comment flow'!$C$40:$C$46,MATCH(I955,'Comment flow'!$A$40:$A$46,0)),""))</f>
        <v/>
      </c>
      <c r="N955" s="46" t="str">
        <f aca="false">IF(B955="","",IF(OR(I955="",I955="Open: needs a decision",L955=""),"Open","Closed"))</f>
        <v/>
      </c>
      <c r="O955" s="46"/>
      <c r="P955" s="46" t="str">
        <f aca="false">IF(OR(B955="",I955&lt;&gt;"Save for a later revision"),"",IF(COUNTIF('Deferred edits'!$K$2:$K$201,A955)&gt;0,"Yes","● Add to Deferred edits"))</f>
        <v/>
      </c>
    </row>
    <row r="956" customFormat="false" ht="15" hidden="false" customHeight="false" outlineLevel="0" collapsed="false">
      <c r="A956" s="46" t="s">
        <v>1251</v>
      </c>
      <c r="B956" s="46"/>
      <c r="C956" s="46"/>
      <c r="D956" s="46"/>
      <c r="E956" s="46"/>
      <c r="F956" s="46"/>
      <c r="G956" s="46"/>
      <c r="H956" s="46"/>
      <c r="I956" s="46"/>
      <c r="J956" s="46"/>
      <c r="K956" s="46"/>
      <c r="L956" s="46"/>
      <c r="M956" s="46" t="str">
        <f aca="false">IF(OR(B956="",I956=""),"",IFERROR(INDEX('Comment flow'!$C$40:$C$46,MATCH(I956,'Comment flow'!$A$40:$A$46,0)),""))</f>
        <v/>
      </c>
      <c r="N956" s="46" t="str">
        <f aca="false">IF(B956="","",IF(OR(I956="",I956="Open: needs a decision",L956=""),"Open","Closed"))</f>
        <v/>
      </c>
      <c r="O956" s="46"/>
      <c r="P956" s="46" t="str">
        <f aca="false">IF(OR(B956="",I956&lt;&gt;"Save for a later revision"),"",IF(COUNTIF('Deferred edits'!$K$2:$K$201,A956)&gt;0,"Yes","● Add to Deferred edits"))</f>
        <v/>
      </c>
    </row>
    <row r="957" customFormat="false" ht="15" hidden="false" customHeight="false" outlineLevel="0" collapsed="false">
      <c r="A957" s="46" t="s">
        <v>1252</v>
      </c>
      <c r="B957" s="46"/>
      <c r="C957" s="46"/>
      <c r="D957" s="46"/>
      <c r="E957" s="46"/>
      <c r="F957" s="46"/>
      <c r="G957" s="46"/>
      <c r="H957" s="46"/>
      <c r="I957" s="46"/>
      <c r="J957" s="46"/>
      <c r="K957" s="46"/>
      <c r="L957" s="46"/>
      <c r="M957" s="46" t="str">
        <f aca="false">IF(OR(B957="",I957=""),"",IFERROR(INDEX('Comment flow'!$C$40:$C$46,MATCH(I957,'Comment flow'!$A$40:$A$46,0)),""))</f>
        <v/>
      </c>
      <c r="N957" s="46" t="str">
        <f aca="false">IF(B957="","",IF(OR(I957="",I957="Open: needs a decision",L957=""),"Open","Closed"))</f>
        <v/>
      </c>
      <c r="O957" s="46"/>
      <c r="P957" s="46" t="str">
        <f aca="false">IF(OR(B957="",I957&lt;&gt;"Save for a later revision"),"",IF(COUNTIF('Deferred edits'!$K$2:$K$201,A957)&gt;0,"Yes","● Add to Deferred edits"))</f>
        <v/>
      </c>
    </row>
    <row r="958" customFormat="false" ht="15" hidden="false" customHeight="false" outlineLevel="0" collapsed="false">
      <c r="A958" s="46" t="s">
        <v>1253</v>
      </c>
      <c r="B958" s="46"/>
      <c r="C958" s="46"/>
      <c r="D958" s="46"/>
      <c r="E958" s="46"/>
      <c r="F958" s="46"/>
      <c r="G958" s="46"/>
      <c r="H958" s="46"/>
      <c r="I958" s="46"/>
      <c r="J958" s="46"/>
      <c r="K958" s="46"/>
      <c r="L958" s="46"/>
      <c r="M958" s="46" t="str">
        <f aca="false">IF(OR(B958="",I958=""),"",IFERROR(INDEX('Comment flow'!$C$40:$C$46,MATCH(I958,'Comment flow'!$A$40:$A$46,0)),""))</f>
        <v/>
      </c>
      <c r="N958" s="46" t="str">
        <f aca="false">IF(B958="","",IF(OR(I958="",I958="Open: needs a decision",L958=""),"Open","Closed"))</f>
        <v/>
      </c>
      <c r="O958" s="46"/>
      <c r="P958" s="46" t="str">
        <f aca="false">IF(OR(B958="",I958&lt;&gt;"Save for a later revision"),"",IF(COUNTIF('Deferred edits'!$K$2:$K$201,A958)&gt;0,"Yes","● Add to Deferred edits"))</f>
        <v/>
      </c>
    </row>
    <row r="959" customFormat="false" ht="15" hidden="false" customHeight="false" outlineLevel="0" collapsed="false">
      <c r="A959" s="46" t="s">
        <v>1254</v>
      </c>
      <c r="B959" s="46"/>
      <c r="C959" s="46"/>
      <c r="D959" s="46"/>
      <c r="E959" s="46"/>
      <c r="F959" s="46"/>
      <c r="G959" s="46"/>
      <c r="H959" s="46"/>
      <c r="I959" s="46"/>
      <c r="J959" s="46"/>
      <c r="K959" s="46"/>
      <c r="L959" s="46"/>
      <c r="M959" s="46" t="str">
        <f aca="false">IF(OR(B959="",I959=""),"",IFERROR(INDEX('Comment flow'!$C$40:$C$46,MATCH(I959,'Comment flow'!$A$40:$A$46,0)),""))</f>
        <v/>
      </c>
      <c r="N959" s="46" t="str">
        <f aca="false">IF(B959="","",IF(OR(I959="",I959="Open: needs a decision",L959=""),"Open","Closed"))</f>
        <v/>
      </c>
      <c r="O959" s="46"/>
      <c r="P959" s="46" t="str">
        <f aca="false">IF(OR(B959="",I959&lt;&gt;"Save for a later revision"),"",IF(COUNTIF('Deferred edits'!$K$2:$K$201,A959)&gt;0,"Yes","● Add to Deferred edits"))</f>
        <v/>
      </c>
    </row>
    <row r="960" customFormat="false" ht="15" hidden="false" customHeight="false" outlineLevel="0" collapsed="false">
      <c r="A960" s="46" t="s">
        <v>1255</v>
      </c>
      <c r="B960" s="46"/>
      <c r="C960" s="46"/>
      <c r="D960" s="46"/>
      <c r="E960" s="46"/>
      <c r="F960" s="46"/>
      <c r="G960" s="46"/>
      <c r="H960" s="46"/>
      <c r="I960" s="46"/>
      <c r="J960" s="46"/>
      <c r="K960" s="46"/>
      <c r="L960" s="46"/>
      <c r="M960" s="46" t="str">
        <f aca="false">IF(OR(B960="",I960=""),"",IFERROR(INDEX('Comment flow'!$C$40:$C$46,MATCH(I960,'Comment flow'!$A$40:$A$46,0)),""))</f>
        <v/>
      </c>
      <c r="N960" s="46" t="str">
        <f aca="false">IF(B960="","",IF(OR(I960="",I960="Open: needs a decision",L960=""),"Open","Closed"))</f>
        <v/>
      </c>
      <c r="O960" s="46"/>
      <c r="P960" s="46" t="str">
        <f aca="false">IF(OR(B960="",I960&lt;&gt;"Save for a later revision"),"",IF(COUNTIF('Deferred edits'!$K$2:$K$201,A960)&gt;0,"Yes","● Add to Deferred edits"))</f>
        <v/>
      </c>
    </row>
    <row r="961" customFormat="false" ht="15" hidden="false" customHeight="false" outlineLevel="0" collapsed="false">
      <c r="A961" s="46" t="s">
        <v>1256</v>
      </c>
      <c r="B961" s="46"/>
      <c r="C961" s="46"/>
      <c r="D961" s="46"/>
      <c r="E961" s="46"/>
      <c r="F961" s="46"/>
      <c r="G961" s="46"/>
      <c r="H961" s="46"/>
      <c r="I961" s="46"/>
      <c r="J961" s="46"/>
      <c r="K961" s="46"/>
      <c r="L961" s="46"/>
      <c r="M961" s="46" t="str">
        <f aca="false">IF(OR(B961="",I961=""),"",IFERROR(INDEX('Comment flow'!$C$40:$C$46,MATCH(I961,'Comment flow'!$A$40:$A$46,0)),""))</f>
        <v/>
      </c>
      <c r="N961" s="46" t="str">
        <f aca="false">IF(B961="","",IF(OR(I961="",I961="Open: needs a decision",L961=""),"Open","Closed"))</f>
        <v/>
      </c>
      <c r="O961" s="46"/>
      <c r="P961" s="46" t="str">
        <f aca="false">IF(OR(B961="",I961&lt;&gt;"Save for a later revision"),"",IF(COUNTIF('Deferred edits'!$K$2:$K$201,A961)&gt;0,"Yes","● Add to Deferred edits"))</f>
        <v/>
      </c>
    </row>
    <row r="962" customFormat="false" ht="15" hidden="false" customHeight="false" outlineLevel="0" collapsed="false">
      <c r="A962" s="46" t="s">
        <v>1257</v>
      </c>
      <c r="B962" s="46"/>
      <c r="C962" s="46"/>
      <c r="D962" s="46"/>
      <c r="E962" s="46"/>
      <c r="F962" s="46"/>
      <c r="G962" s="46"/>
      <c r="H962" s="46"/>
      <c r="I962" s="46"/>
      <c r="J962" s="46"/>
      <c r="K962" s="46"/>
      <c r="L962" s="46"/>
      <c r="M962" s="46" t="str">
        <f aca="false">IF(OR(B962="",I962=""),"",IFERROR(INDEX('Comment flow'!$C$40:$C$46,MATCH(I962,'Comment flow'!$A$40:$A$46,0)),""))</f>
        <v/>
      </c>
      <c r="N962" s="46" t="str">
        <f aca="false">IF(B962="","",IF(OR(I962="",I962="Open: needs a decision",L962=""),"Open","Closed"))</f>
        <v/>
      </c>
      <c r="O962" s="46"/>
      <c r="P962" s="46" t="str">
        <f aca="false">IF(OR(B962="",I962&lt;&gt;"Save for a later revision"),"",IF(COUNTIF('Deferred edits'!$K$2:$K$201,A962)&gt;0,"Yes","● Add to Deferred edits"))</f>
        <v/>
      </c>
    </row>
    <row r="963" customFormat="false" ht="15" hidden="false" customHeight="false" outlineLevel="0" collapsed="false">
      <c r="A963" s="46" t="s">
        <v>1258</v>
      </c>
      <c r="B963" s="46"/>
      <c r="C963" s="46"/>
      <c r="D963" s="46"/>
      <c r="E963" s="46"/>
      <c r="F963" s="46"/>
      <c r="G963" s="46"/>
      <c r="H963" s="46"/>
      <c r="I963" s="46"/>
      <c r="J963" s="46"/>
      <c r="K963" s="46"/>
      <c r="L963" s="46"/>
      <c r="M963" s="46" t="str">
        <f aca="false">IF(OR(B963="",I963=""),"",IFERROR(INDEX('Comment flow'!$C$40:$C$46,MATCH(I963,'Comment flow'!$A$40:$A$46,0)),""))</f>
        <v/>
      </c>
      <c r="N963" s="46" t="str">
        <f aca="false">IF(B963="","",IF(OR(I963="",I963="Open: needs a decision",L963=""),"Open","Closed"))</f>
        <v/>
      </c>
      <c r="O963" s="46"/>
      <c r="P963" s="46" t="str">
        <f aca="false">IF(OR(B963="",I963&lt;&gt;"Save for a later revision"),"",IF(COUNTIF('Deferred edits'!$K$2:$K$201,A963)&gt;0,"Yes","● Add to Deferred edits"))</f>
        <v/>
      </c>
    </row>
    <row r="964" customFormat="false" ht="15" hidden="false" customHeight="false" outlineLevel="0" collapsed="false">
      <c r="A964" s="46" t="s">
        <v>1259</v>
      </c>
      <c r="B964" s="46"/>
      <c r="C964" s="46"/>
      <c r="D964" s="46"/>
      <c r="E964" s="46"/>
      <c r="F964" s="46"/>
      <c r="G964" s="46"/>
      <c r="H964" s="46"/>
      <c r="I964" s="46"/>
      <c r="J964" s="46"/>
      <c r="K964" s="46"/>
      <c r="L964" s="46"/>
      <c r="M964" s="46" t="str">
        <f aca="false">IF(OR(B964="",I964=""),"",IFERROR(INDEX('Comment flow'!$C$40:$C$46,MATCH(I964,'Comment flow'!$A$40:$A$46,0)),""))</f>
        <v/>
      </c>
      <c r="N964" s="46" t="str">
        <f aca="false">IF(B964="","",IF(OR(I964="",I964="Open: needs a decision",L964=""),"Open","Closed"))</f>
        <v/>
      </c>
      <c r="O964" s="46"/>
      <c r="P964" s="46" t="str">
        <f aca="false">IF(OR(B964="",I964&lt;&gt;"Save for a later revision"),"",IF(COUNTIF('Deferred edits'!$K$2:$K$201,A964)&gt;0,"Yes","● Add to Deferred edits"))</f>
        <v/>
      </c>
    </row>
    <row r="965" customFormat="false" ht="15" hidden="false" customHeight="false" outlineLevel="0" collapsed="false">
      <c r="A965" s="46" t="s">
        <v>1260</v>
      </c>
      <c r="B965" s="46"/>
      <c r="C965" s="46"/>
      <c r="D965" s="46"/>
      <c r="E965" s="46"/>
      <c r="F965" s="46"/>
      <c r="G965" s="46"/>
      <c r="H965" s="46"/>
      <c r="I965" s="46"/>
      <c r="J965" s="46"/>
      <c r="K965" s="46"/>
      <c r="L965" s="46"/>
      <c r="M965" s="46" t="str">
        <f aca="false">IF(OR(B965="",I965=""),"",IFERROR(INDEX('Comment flow'!$C$40:$C$46,MATCH(I965,'Comment flow'!$A$40:$A$46,0)),""))</f>
        <v/>
      </c>
      <c r="N965" s="46" t="str">
        <f aca="false">IF(B965="","",IF(OR(I965="",I965="Open: needs a decision",L965=""),"Open","Closed"))</f>
        <v/>
      </c>
      <c r="O965" s="46"/>
      <c r="P965" s="46" t="str">
        <f aca="false">IF(OR(B965="",I965&lt;&gt;"Save for a later revision"),"",IF(COUNTIF('Deferred edits'!$K$2:$K$201,A965)&gt;0,"Yes","● Add to Deferred edits"))</f>
        <v/>
      </c>
    </row>
    <row r="966" customFormat="false" ht="15" hidden="false" customHeight="false" outlineLevel="0" collapsed="false">
      <c r="A966" s="46" t="s">
        <v>1261</v>
      </c>
      <c r="B966" s="46"/>
      <c r="C966" s="46"/>
      <c r="D966" s="46"/>
      <c r="E966" s="46"/>
      <c r="F966" s="46"/>
      <c r="G966" s="46"/>
      <c r="H966" s="46"/>
      <c r="I966" s="46"/>
      <c r="J966" s="46"/>
      <c r="K966" s="46"/>
      <c r="L966" s="46"/>
      <c r="M966" s="46" t="str">
        <f aca="false">IF(OR(B966="",I966=""),"",IFERROR(INDEX('Comment flow'!$C$40:$C$46,MATCH(I966,'Comment flow'!$A$40:$A$46,0)),""))</f>
        <v/>
      </c>
      <c r="N966" s="46" t="str">
        <f aca="false">IF(B966="","",IF(OR(I966="",I966="Open: needs a decision",L966=""),"Open","Closed"))</f>
        <v/>
      </c>
      <c r="O966" s="46"/>
      <c r="P966" s="46" t="str">
        <f aca="false">IF(OR(B966="",I966&lt;&gt;"Save for a later revision"),"",IF(COUNTIF('Deferred edits'!$K$2:$K$201,A966)&gt;0,"Yes","● Add to Deferred edits"))</f>
        <v/>
      </c>
    </row>
    <row r="967" customFormat="false" ht="15" hidden="false" customHeight="false" outlineLevel="0" collapsed="false">
      <c r="A967" s="46" t="s">
        <v>1262</v>
      </c>
      <c r="B967" s="46"/>
      <c r="C967" s="46"/>
      <c r="D967" s="46"/>
      <c r="E967" s="46"/>
      <c r="F967" s="46"/>
      <c r="G967" s="46"/>
      <c r="H967" s="46"/>
      <c r="I967" s="46"/>
      <c r="J967" s="46"/>
      <c r="K967" s="46"/>
      <c r="L967" s="46"/>
      <c r="M967" s="46" t="str">
        <f aca="false">IF(OR(B967="",I967=""),"",IFERROR(INDEX('Comment flow'!$C$40:$C$46,MATCH(I967,'Comment flow'!$A$40:$A$46,0)),""))</f>
        <v/>
      </c>
      <c r="N967" s="46" t="str">
        <f aca="false">IF(B967="","",IF(OR(I967="",I967="Open: needs a decision",L967=""),"Open","Closed"))</f>
        <v/>
      </c>
      <c r="O967" s="46"/>
      <c r="P967" s="46" t="str">
        <f aca="false">IF(OR(B967="",I967&lt;&gt;"Save for a later revision"),"",IF(COUNTIF('Deferred edits'!$K$2:$K$201,A967)&gt;0,"Yes","● Add to Deferred edits"))</f>
        <v/>
      </c>
    </row>
    <row r="968" customFormat="false" ht="15" hidden="false" customHeight="false" outlineLevel="0" collapsed="false">
      <c r="A968" s="46" t="s">
        <v>1263</v>
      </c>
      <c r="B968" s="46"/>
      <c r="C968" s="46"/>
      <c r="D968" s="46"/>
      <c r="E968" s="46"/>
      <c r="F968" s="46"/>
      <c r="G968" s="46"/>
      <c r="H968" s="46"/>
      <c r="I968" s="46"/>
      <c r="J968" s="46"/>
      <c r="K968" s="46"/>
      <c r="L968" s="46"/>
      <c r="M968" s="46" t="str">
        <f aca="false">IF(OR(B968="",I968=""),"",IFERROR(INDEX('Comment flow'!$C$40:$C$46,MATCH(I968,'Comment flow'!$A$40:$A$46,0)),""))</f>
        <v/>
      </c>
      <c r="N968" s="46" t="str">
        <f aca="false">IF(B968="","",IF(OR(I968="",I968="Open: needs a decision",L968=""),"Open","Closed"))</f>
        <v/>
      </c>
      <c r="O968" s="46"/>
      <c r="P968" s="46" t="str">
        <f aca="false">IF(OR(B968="",I968&lt;&gt;"Save for a later revision"),"",IF(COUNTIF('Deferred edits'!$K$2:$K$201,A968)&gt;0,"Yes","● Add to Deferred edits"))</f>
        <v/>
      </c>
    </row>
    <row r="969" customFormat="false" ht="15" hidden="false" customHeight="false" outlineLevel="0" collapsed="false">
      <c r="A969" s="46" t="s">
        <v>1264</v>
      </c>
      <c r="B969" s="46"/>
      <c r="C969" s="46"/>
      <c r="D969" s="46"/>
      <c r="E969" s="46"/>
      <c r="F969" s="46"/>
      <c r="G969" s="46"/>
      <c r="H969" s="46"/>
      <c r="I969" s="46"/>
      <c r="J969" s="46"/>
      <c r="K969" s="46"/>
      <c r="L969" s="46"/>
      <c r="M969" s="46" t="str">
        <f aca="false">IF(OR(B969="",I969=""),"",IFERROR(INDEX('Comment flow'!$C$40:$C$46,MATCH(I969,'Comment flow'!$A$40:$A$46,0)),""))</f>
        <v/>
      </c>
      <c r="N969" s="46" t="str">
        <f aca="false">IF(B969="","",IF(OR(I969="",I969="Open: needs a decision",L969=""),"Open","Closed"))</f>
        <v/>
      </c>
      <c r="O969" s="46"/>
      <c r="P969" s="46" t="str">
        <f aca="false">IF(OR(B969="",I969&lt;&gt;"Save for a later revision"),"",IF(COUNTIF('Deferred edits'!$K$2:$K$201,A969)&gt;0,"Yes","● Add to Deferred edits"))</f>
        <v/>
      </c>
    </row>
    <row r="970" customFormat="false" ht="15" hidden="false" customHeight="false" outlineLevel="0" collapsed="false">
      <c r="A970" s="46" t="s">
        <v>1265</v>
      </c>
      <c r="B970" s="46"/>
      <c r="C970" s="46"/>
      <c r="D970" s="46"/>
      <c r="E970" s="46"/>
      <c r="F970" s="46"/>
      <c r="G970" s="46"/>
      <c r="H970" s="46"/>
      <c r="I970" s="46"/>
      <c r="J970" s="46"/>
      <c r="K970" s="46"/>
      <c r="L970" s="46"/>
      <c r="M970" s="46" t="str">
        <f aca="false">IF(OR(B970="",I970=""),"",IFERROR(INDEX('Comment flow'!$C$40:$C$46,MATCH(I970,'Comment flow'!$A$40:$A$46,0)),""))</f>
        <v/>
      </c>
      <c r="N970" s="46" t="str">
        <f aca="false">IF(B970="","",IF(OR(I970="",I970="Open: needs a decision",L970=""),"Open","Closed"))</f>
        <v/>
      </c>
      <c r="O970" s="46"/>
      <c r="P970" s="46" t="str">
        <f aca="false">IF(OR(B970="",I970&lt;&gt;"Save for a later revision"),"",IF(COUNTIF('Deferred edits'!$K$2:$K$201,A970)&gt;0,"Yes","● Add to Deferred edits"))</f>
        <v/>
      </c>
    </row>
    <row r="971" customFormat="false" ht="15" hidden="false" customHeight="false" outlineLevel="0" collapsed="false">
      <c r="A971" s="46" t="s">
        <v>1266</v>
      </c>
      <c r="B971" s="46"/>
      <c r="C971" s="46"/>
      <c r="D971" s="46"/>
      <c r="E971" s="46"/>
      <c r="F971" s="46"/>
      <c r="G971" s="46"/>
      <c r="H971" s="46"/>
      <c r="I971" s="46"/>
      <c r="J971" s="46"/>
      <c r="K971" s="46"/>
      <c r="L971" s="46"/>
      <c r="M971" s="46" t="str">
        <f aca="false">IF(OR(B971="",I971=""),"",IFERROR(INDEX('Comment flow'!$C$40:$C$46,MATCH(I971,'Comment flow'!$A$40:$A$46,0)),""))</f>
        <v/>
      </c>
      <c r="N971" s="46" t="str">
        <f aca="false">IF(B971="","",IF(OR(I971="",I971="Open: needs a decision",L971=""),"Open","Closed"))</f>
        <v/>
      </c>
      <c r="O971" s="46"/>
      <c r="P971" s="46" t="str">
        <f aca="false">IF(OR(B971="",I971&lt;&gt;"Save for a later revision"),"",IF(COUNTIF('Deferred edits'!$K$2:$K$201,A971)&gt;0,"Yes","● Add to Deferred edits"))</f>
        <v/>
      </c>
    </row>
    <row r="972" customFormat="false" ht="15" hidden="false" customHeight="false" outlineLevel="0" collapsed="false">
      <c r="A972" s="46" t="s">
        <v>1267</v>
      </c>
      <c r="B972" s="46"/>
      <c r="C972" s="46"/>
      <c r="D972" s="46"/>
      <c r="E972" s="46"/>
      <c r="F972" s="46"/>
      <c r="G972" s="46"/>
      <c r="H972" s="46"/>
      <c r="I972" s="46"/>
      <c r="J972" s="46"/>
      <c r="K972" s="46"/>
      <c r="L972" s="46"/>
      <c r="M972" s="46" t="str">
        <f aca="false">IF(OR(B972="",I972=""),"",IFERROR(INDEX('Comment flow'!$C$40:$C$46,MATCH(I972,'Comment flow'!$A$40:$A$46,0)),""))</f>
        <v/>
      </c>
      <c r="N972" s="46" t="str">
        <f aca="false">IF(B972="","",IF(OR(I972="",I972="Open: needs a decision",L972=""),"Open","Closed"))</f>
        <v/>
      </c>
      <c r="O972" s="46"/>
      <c r="P972" s="46" t="str">
        <f aca="false">IF(OR(B972="",I972&lt;&gt;"Save for a later revision"),"",IF(COUNTIF('Deferred edits'!$K$2:$K$201,A972)&gt;0,"Yes","● Add to Deferred edits"))</f>
        <v/>
      </c>
    </row>
    <row r="973" customFormat="false" ht="15" hidden="false" customHeight="false" outlineLevel="0" collapsed="false">
      <c r="A973" s="46" t="s">
        <v>1268</v>
      </c>
      <c r="B973" s="46"/>
      <c r="C973" s="46"/>
      <c r="D973" s="46"/>
      <c r="E973" s="46"/>
      <c r="F973" s="46"/>
      <c r="G973" s="46"/>
      <c r="H973" s="46"/>
      <c r="I973" s="46"/>
      <c r="J973" s="46"/>
      <c r="K973" s="46"/>
      <c r="L973" s="46"/>
      <c r="M973" s="46" t="str">
        <f aca="false">IF(OR(B973="",I973=""),"",IFERROR(INDEX('Comment flow'!$C$40:$C$46,MATCH(I973,'Comment flow'!$A$40:$A$46,0)),""))</f>
        <v/>
      </c>
      <c r="N973" s="46" t="str">
        <f aca="false">IF(B973="","",IF(OR(I973="",I973="Open: needs a decision",L973=""),"Open","Closed"))</f>
        <v/>
      </c>
      <c r="O973" s="46"/>
      <c r="P973" s="46" t="str">
        <f aca="false">IF(OR(B973="",I973&lt;&gt;"Save for a later revision"),"",IF(COUNTIF('Deferred edits'!$K$2:$K$201,A973)&gt;0,"Yes","● Add to Deferred edits"))</f>
        <v/>
      </c>
    </row>
    <row r="974" customFormat="false" ht="15" hidden="false" customHeight="false" outlineLevel="0" collapsed="false">
      <c r="A974" s="46" t="s">
        <v>1269</v>
      </c>
      <c r="B974" s="46"/>
      <c r="C974" s="46"/>
      <c r="D974" s="46"/>
      <c r="E974" s="46"/>
      <c r="F974" s="46"/>
      <c r="G974" s="46"/>
      <c r="H974" s="46"/>
      <c r="I974" s="46"/>
      <c r="J974" s="46"/>
      <c r="K974" s="46"/>
      <c r="L974" s="46"/>
      <c r="M974" s="46" t="str">
        <f aca="false">IF(OR(B974="",I974=""),"",IFERROR(INDEX('Comment flow'!$C$40:$C$46,MATCH(I974,'Comment flow'!$A$40:$A$46,0)),""))</f>
        <v/>
      </c>
      <c r="N974" s="46" t="str">
        <f aca="false">IF(B974="","",IF(OR(I974="",I974="Open: needs a decision",L974=""),"Open","Closed"))</f>
        <v/>
      </c>
      <c r="O974" s="46"/>
      <c r="P974" s="46" t="str">
        <f aca="false">IF(OR(B974="",I974&lt;&gt;"Save for a later revision"),"",IF(COUNTIF('Deferred edits'!$K$2:$K$201,A974)&gt;0,"Yes","● Add to Deferred edits"))</f>
        <v/>
      </c>
    </row>
    <row r="975" customFormat="false" ht="15" hidden="false" customHeight="false" outlineLevel="0" collapsed="false">
      <c r="A975" s="46" t="s">
        <v>1270</v>
      </c>
      <c r="B975" s="46"/>
      <c r="C975" s="46"/>
      <c r="D975" s="46"/>
      <c r="E975" s="46"/>
      <c r="F975" s="46"/>
      <c r="G975" s="46"/>
      <c r="H975" s="46"/>
      <c r="I975" s="46"/>
      <c r="J975" s="46"/>
      <c r="K975" s="46"/>
      <c r="L975" s="46"/>
      <c r="M975" s="46" t="str">
        <f aca="false">IF(OR(B975="",I975=""),"",IFERROR(INDEX('Comment flow'!$C$40:$C$46,MATCH(I975,'Comment flow'!$A$40:$A$46,0)),""))</f>
        <v/>
      </c>
      <c r="N975" s="46" t="str">
        <f aca="false">IF(B975="","",IF(OR(I975="",I975="Open: needs a decision",L975=""),"Open","Closed"))</f>
        <v/>
      </c>
      <c r="O975" s="46"/>
      <c r="P975" s="46" t="str">
        <f aca="false">IF(OR(B975="",I975&lt;&gt;"Save for a later revision"),"",IF(COUNTIF('Deferred edits'!$K$2:$K$201,A975)&gt;0,"Yes","● Add to Deferred edits"))</f>
        <v/>
      </c>
    </row>
    <row r="976" customFormat="false" ht="15" hidden="false" customHeight="false" outlineLevel="0" collapsed="false">
      <c r="A976" s="46" t="s">
        <v>1271</v>
      </c>
      <c r="B976" s="46"/>
      <c r="C976" s="46"/>
      <c r="D976" s="46"/>
      <c r="E976" s="46"/>
      <c r="F976" s="46"/>
      <c r="G976" s="46"/>
      <c r="H976" s="46"/>
      <c r="I976" s="46"/>
      <c r="J976" s="46"/>
      <c r="K976" s="46"/>
      <c r="L976" s="46"/>
      <c r="M976" s="46" t="str">
        <f aca="false">IF(OR(B976="",I976=""),"",IFERROR(INDEX('Comment flow'!$C$40:$C$46,MATCH(I976,'Comment flow'!$A$40:$A$46,0)),""))</f>
        <v/>
      </c>
      <c r="N976" s="46" t="str">
        <f aca="false">IF(B976="","",IF(OR(I976="",I976="Open: needs a decision",L976=""),"Open","Closed"))</f>
        <v/>
      </c>
      <c r="O976" s="46"/>
      <c r="P976" s="46" t="str">
        <f aca="false">IF(OR(B976="",I976&lt;&gt;"Save for a later revision"),"",IF(COUNTIF('Deferred edits'!$K$2:$K$201,A976)&gt;0,"Yes","● Add to Deferred edits"))</f>
        <v/>
      </c>
    </row>
    <row r="977" customFormat="false" ht="15" hidden="false" customHeight="false" outlineLevel="0" collapsed="false">
      <c r="A977" s="46" t="s">
        <v>1272</v>
      </c>
      <c r="B977" s="46"/>
      <c r="C977" s="46"/>
      <c r="D977" s="46"/>
      <c r="E977" s="46"/>
      <c r="F977" s="46"/>
      <c r="G977" s="46"/>
      <c r="H977" s="46"/>
      <c r="I977" s="46"/>
      <c r="J977" s="46"/>
      <c r="K977" s="46"/>
      <c r="L977" s="46"/>
      <c r="M977" s="46" t="str">
        <f aca="false">IF(OR(B977="",I977=""),"",IFERROR(INDEX('Comment flow'!$C$40:$C$46,MATCH(I977,'Comment flow'!$A$40:$A$46,0)),""))</f>
        <v/>
      </c>
      <c r="N977" s="46" t="str">
        <f aca="false">IF(B977="","",IF(OR(I977="",I977="Open: needs a decision",L977=""),"Open","Closed"))</f>
        <v/>
      </c>
      <c r="O977" s="46"/>
      <c r="P977" s="46" t="str">
        <f aca="false">IF(OR(B977="",I977&lt;&gt;"Save for a later revision"),"",IF(COUNTIF('Deferred edits'!$K$2:$K$201,A977)&gt;0,"Yes","● Add to Deferred edits"))</f>
        <v/>
      </c>
    </row>
    <row r="978" customFormat="false" ht="15" hidden="false" customHeight="false" outlineLevel="0" collapsed="false">
      <c r="A978" s="46" t="s">
        <v>1273</v>
      </c>
      <c r="B978" s="46"/>
      <c r="C978" s="46"/>
      <c r="D978" s="46"/>
      <c r="E978" s="46"/>
      <c r="F978" s="46"/>
      <c r="G978" s="46"/>
      <c r="H978" s="46"/>
      <c r="I978" s="46"/>
      <c r="J978" s="46"/>
      <c r="K978" s="46"/>
      <c r="L978" s="46"/>
      <c r="M978" s="46" t="str">
        <f aca="false">IF(OR(B978="",I978=""),"",IFERROR(INDEX('Comment flow'!$C$40:$C$46,MATCH(I978,'Comment flow'!$A$40:$A$46,0)),""))</f>
        <v/>
      </c>
      <c r="N978" s="46" t="str">
        <f aca="false">IF(B978="","",IF(OR(I978="",I978="Open: needs a decision",L978=""),"Open","Closed"))</f>
        <v/>
      </c>
      <c r="O978" s="46"/>
      <c r="P978" s="46" t="str">
        <f aca="false">IF(OR(B978="",I978&lt;&gt;"Save for a later revision"),"",IF(COUNTIF('Deferred edits'!$K$2:$K$201,A978)&gt;0,"Yes","● Add to Deferred edits"))</f>
        <v/>
      </c>
    </row>
    <row r="979" customFormat="false" ht="15" hidden="false" customHeight="false" outlineLevel="0" collapsed="false">
      <c r="A979" s="46" t="s">
        <v>1274</v>
      </c>
      <c r="B979" s="46"/>
      <c r="C979" s="46"/>
      <c r="D979" s="46"/>
      <c r="E979" s="46"/>
      <c r="F979" s="46"/>
      <c r="G979" s="46"/>
      <c r="H979" s="46"/>
      <c r="I979" s="46"/>
      <c r="J979" s="46"/>
      <c r="K979" s="46"/>
      <c r="L979" s="46"/>
      <c r="M979" s="46" t="str">
        <f aca="false">IF(OR(B979="",I979=""),"",IFERROR(INDEX('Comment flow'!$C$40:$C$46,MATCH(I979,'Comment flow'!$A$40:$A$46,0)),""))</f>
        <v/>
      </c>
      <c r="N979" s="46" t="str">
        <f aca="false">IF(B979="","",IF(OR(I979="",I979="Open: needs a decision",L979=""),"Open","Closed"))</f>
        <v/>
      </c>
      <c r="O979" s="46"/>
      <c r="P979" s="46" t="str">
        <f aca="false">IF(OR(B979="",I979&lt;&gt;"Save for a later revision"),"",IF(COUNTIF('Deferred edits'!$K$2:$K$201,A979)&gt;0,"Yes","● Add to Deferred edits"))</f>
        <v/>
      </c>
    </row>
    <row r="980" customFormat="false" ht="15" hidden="false" customHeight="false" outlineLevel="0" collapsed="false">
      <c r="A980" s="46" t="s">
        <v>1275</v>
      </c>
      <c r="B980" s="46"/>
      <c r="C980" s="46"/>
      <c r="D980" s="46"/>
      <c r="E980" s="46"/>
      <c r="F980" s="46"/>
      <c r="G980" s="46"/>
      <c r="H980" s="46"/>
      <c r="I980" s="46"/>
      <c r="J980" s="46"/>
      <c r="K980" s="46"/>
      <c r="L980" s="46"/>
      <c r="M980" s="46" t="str">
        <f aca="false">IF(OR(B980="",I980=""),"",IFERROR(INDEX('Comment flow'!$C$40:$C$46,MATCH(I980,'Comment flow'!$A$40:$A$46,0)),""))</f>
        <v/>
      </c>
      <c r="N980" s="46" t="str">
        <f aca="false">IF(B980="","",IF(OR(I980="",I980="Open: needs a decision",L980=""),"Open","Closed"))</f>
        <v/>
      </c>
      <c r="O980" s="46"/>
      <c r="P980" s="46" t="str">
        <f aca="false">IF(OR(B980="",I980&lt;&gt;"Save for a later revision"),"",IF(COUNTIF('Deferred edits'!$K$2:$K$201,A980)&gt;0,"Yes","● Add to Deferred edits"))</f>
        <v/>
      </c>
    </row>
    <row r="981" customFormat="false" ht="15" hidden="false" customHeight="false" outlineLevel="0" collapsed="false">
      <c r="A981" s="46" t="s">
        <v>1276</v>
      </c>
      <c r="B981" s="46"/>
      <c r="C981" s="46"/>
      <c r="D981" s="46"/>
      <c r="E981" s="46"/>
      <c r="F981" s="46"/>
      <c r="G981" s="46"/>
      <c r="H981" s="46"/>
      <c r="I981" s="46"/>
      <c r="J981" s="46"/>
      <c r="K981" s="46"/>
      <c r="L981" s="46"/>
      <c r="M981" s="46" t="str">
        <f aca="false">IF(OR(B981="",I981=""),"",IFERROR(INDEX('Comment flow'!$C$40:$C$46,MATCH(I981,'Comment flow'!$A$40:$A$46,0)),""))</f>
        <v/>
      </c>
      <c r="N981" s="46" t="str">
        <f aca="false">IF(B981="","",IF(OR(I981="",I981="Open: needs a decision",L981=""),"Open","Closed"))</f>
        <v/>
      </c>
      <c r="O981" s="46"/>
      <c r="P981" s="46" t="str">
        <f aca="false">IF(OR(B981="",I981&lt;&gt;"Save for a later revision"),"",IF(COUNTIF('Deferred edits'!$K$2:$K$201,A981)&gt;0,"Yes","● Add to Deferred edits"))</f>
        <v/>
      </c>
    </row>
    <row r="982" customFormat="false" ht="15" hidden="false" customHeight="false" outlineLevel="0" collapsed="false">
      <c r="A982" s="46" t="s">
        <v>1277</v>
      </c>
      <c r="B982" s="46"/>
      <c r="C982" s="46"/>
      <c r="D982" s="46"/>
      <c r="E982" s="46"/>
      <c r="F982" s="46"/>
      <c r="G982" s="46"/>
      <c r="H982" s="46"/>
      <c r="I982" s="46"/>
      <c r="J982" s="46"/>
      <c r="K982" s="46"/>
      <c r="L982" s="46"/>
      <c r="M982" s="46" t="str">
        <f aca="false">IF(OR(B982="",I982=""),"",IFERROR(INDEX('Comment flow'!$C$40:$C$46,MATCH(I982,'Comment flow'!$A$40:$A$46,0)),""))</f>
        <v/>
      </c>
      <c r="N982" s="46" t="str">
        <f aca="false">IF(B982="","",IF(OR(I982="",I982="Open: needs a decision",L982=""),"Open","Closed"))</f>
        <v/>
      </c>
      <c r="O982" s="46"/>
      <c r="P982" s="46" t="str">
        <f aca="false">IF(OR(B982="",I982&lt;&gt;"Save for a later revision"),"",IF(COUNTIF('Deferred edits'!$K$2:$K$201,A982)&gt;0,"Yes","● Add to Deferred edits"))</f>
        <v/>
      </c>
    </row>
    <row r="983" customFormat="false" ht="15" hidden="false" customHeight="false" outlineLevel="0" collapsed="false">
      <c r="A983" s="46" t="s">
        <v>1278</v>
      </c>
      <c r="B983" s="46"/>
      <c r="C983" s="46"/>
      <c r="D983" s="46"/>
      <c r="E983" s="46"/>
      <c r="F983" s="46"/>
      <c r="G983" s="46"/>
      <c r="H983" s="46"/>
      <c r="I983" s="46"/>
      <c r="J983" s="46"/>
      <c r="K983" s="46"/>
      <c r="L983" s="46"/>
      <c r="M983" s="46" t="str">
        <f aca="false">IF(OR(B983="",I983=""),"",IFERROR(INDEX('Comment flow'!$C$40:$C$46,MATCH(I983,'Comment flow'!$A$40:$A$46,0)),""))</f>
        <v/>
      </c>
      <c r="N983" s="46" t="str">
        <f aca="false">IF(B983="","",IF(OR(I983="",I983="Open: needs a decision",L983=""),"Open","Closed"))</f>
        <v/>
      </c>
      <c r="O983" s="46"/>
      <c r="P983" s="46" t="str">
        <f aca="false">IF(OR(B983="",I983&lt;&gt;"Save for a later revision"),"",IF(COUNTIF('Deferred edits'!$K$2:$K$201,A983)&gt;0,"Yes","● Add to Deferred edits"))</f>
        <v/>
      </c>
    </row>
    <row r="984" customFormat="false" ht="15" hidden="false" customHeight="false" outlineLevel="0" collapsed="false">
      <c r="A984" s="46" t="s">
        <v>1279</v>
      </c>
      <c r="B984" s="46"/>
      <c r="C984" s="46"/>
      <c r="D984" s="46"/>
      <c r="E984" s="46"/>
      <c r="F984" s="46"/>
      <c r="G984" s="46"/>
      <c r="H984" s="46"/>
      <c r="I984" s="46"/>
      <c r="J984" s="46"/>
      <c r="K984" s="46"/>
      <c r="L984" s="46"/>
      <c r="M984" s="46" t="str">
        <f aca="false">IF(OR(B984="",I984=""),"",IFERROR(INDEX('Comment flow'!$C$40:$C$46,MATCH(I984,'Comment flow'!$A$40:$A$46,0)),""))</f>
        <v/>
      </c>
      <c r="N984" s="46" t="str">
        <f aca="false">IF(B984="","",IF(OR(I984="",I984="Open: needs a decision",L984=""),"Open","Closed"))</f>
        <v/>
      </c>
      <c r="O984" s="46"/>
      <c r="P984" s="46" t="str">
        <f aca="false">IF(OR(B984="",I984&lt;&gt;"Save for a later revision"),"",IF(COUNTIF('Deferred edits'!$K$2:$K$201,A984)&gt;0,"Yes","● Add to Deferred edits"))</f>
        <v/>
      </c>
    </row>
    <row r="985" customFormat="false" ht="15" hidden="false" customHeight="false" outlineLevel="0" collapsed="false">
      <c r="A985" s="46" t="s">
        <v>1280</v>
      </c>
      <c r="B985" s="46"/>
      <c r="C985" s="46"/>
      <c r="D985" s="46"/>
      <c r="E985" s="46"/>
      <c r="F985" s="46"/>
      <c r="G985" s="46"/>
      <c r="H985" s="46"/>
      <c r="I985" s="46"/>
      <c r="J985" s="46"/>
      <c r="K985" s="46"/>
      <c r="L985" s="46"/>
      <c r="M985" s="46" t="str">
        <f aca="false">IF(OR(B985="",I985=""),"",IFERROR(INDEX('Comment flow'!$C$40:$C$46,MATCH(I985,'Comment flow'!$A$40:$A$46,0)),""))</f>
        <v/>
      </c>
      <c r="N985" s="46" t="str">
        <f aca="false">IF(B985="","",IF(OR(I985="",I985="Open: needs a decision",L985=""),"Open","Closed"))</f>
        <v/>
      </c>
      <c r="O985" s="46"/>
      <c r="P985" s="46" t="str">
        <f aca="false">IF(OR(B985="",I985&lt;&gt;"Save for a later revision"),"",IF(COUNTIF('Deferred edits'!$K$2:$K$201,A985)&gt;0,"Yes","● Add to Deferred edits"))</f>
        <v/>
      </c>
    </row>
    <row r="986" customFormat="false" ht="15" hidden="false" customHeight="false" outlineLevel="0" collapsed="false">
      <c r="A986" s="46" t="s">
        <v>1281</v>
      </c>
      <c r="B986" s="46"/>
      <c r="C986" s="46"/>
      <c r="D986" s="46"/>
      <c r="E986" s="46"/>
      <c r="F986" s="46"/>
      <c r="G986" s="46"/>
      <c r="H986" s="46"/>
      <c r="I986" s="46"/>
      <c r="J986" s="46"/>
      <c r="K986" s="46"/>
      <c r="L986" s="46"/>
      <c r="M986" s="46" t="str">
        <f aca="false">IF(OR(B986="",I986=""),"",IFERROR(INDEX('Comment flow'!$C$40:$C$46,MATCH(I986,'Comment flow'!$A$40:$A$46,0)),""))</f>
        <v/>
      </c>
      <c r="N986" s="46" t="str">
        <f aca="false">IF(B986="","",IF(OR(I986="",I986="Open: needs a decision",L986=""),"Open","Closed"))</f>
        <v/>
      </c>
      <c r="O986" s="46"/>
      <c r="P986" s="46" t="str">
        <f aca="false">IF(OR(B986="",I986&lt;&gt;"Save for a later revision"),"",IF(COUNTIF('Deferred edits'!$K$2:$K$201,A986)&gt;0,"Yes","● Add to Deferred edits"))</f>
        <v/>
      </c>
    </row>
    <row r="987" customFormat="false" ht="15" hidden="false" customHeight="false" outlineLevel="0" collapsed="false">
      <c r="A987" s="46" t="s">
        <v>1282</v>
      </c>
      <c r="B987" s="46"/>
      <c r="C987" s="46"/>
      <c r="D987" s="46"/>
      <c r="E987" s="46"/>
      <c r="F987" s="46"/>
      <c r="G987" s="46"/>
      <c r="H987" s="46"/>
      <c r="I987" s="46"/>
      <c r="J987" s="46"/>
      <c r="K987" s="46"/>
      <c r="L987" s="46"/>
      <c r="M987" s="46" t="str">
        <f aca="false">IF(OR(B987="",I987=""),"",IFERROR(INDEX('Comment flow'!$C$40:$C$46,MATCH(I987,'Comment flow'!$A$40:$A$46,0)),""))</f>
        <v/>
      </c>
      <c r="N987" s="46" t="str">
        <f aca="false">IF(B987="","",IF(OR(I987="",I987="Open: needs a decision",L987=""),"Open","Closed"))</f>
        <v/>
      </c>
      <c r="O987" s="46"/>
      <c r="P987" s="46" t="str">
        <f aca="false">IF(OR(B987="",I987&lt;&gt;"Save for a later revision"),"",IF(COUNTIF('Deferred edits'!$K$2:$K$201,A987)&gt;0,"Yes","● Add to Deferred edits"))</f>
        <v/>
      </c>
    </row>
    <row r="988" customFormat="false" ht="15" hidden="false" customHeight="false" outlineLevel="0" collapsed="false">
      <c r="A988" s="46" t="s">
        <v>1283</v>
      </c>
      <c r="B988" s="46"/>
      <c r="C988" s="46"/>
      <c r="D988" s="46"/>
      <c r="E988" s="46"/>
      <c r="F988" s="46"/>
      <c r="G988" s="46"/>
      <c r="H988" s="46"/>
      <c r="I988" s="46"/>
      <c r="J988" s="46"/>
      <c r="K988" s="46"/>
      <c r="L988" s="46"/>
      <c r="M988" s="46" t="str">
        <f aca="false">IF(OR(B988="",I988=""),"",IFERROR(INDEX('Comment flow'!$C$40:$C$46,MATCH(I988,'Comment flow'!$A$40:$A$46,0)),""))</f>
        <v/>
      </c>
      <c r="N988" s="46" t="str">
        <f aca="false">IF(B988="","",IF(OR(I988="",I988="Open: needs a decision",L988=""),"Open","Closed"))</f>
        <v/>
      </c>
      <c r="O988" s="46"/>
      <c r="P988" s="46" t="str">
        <f aca="false">IF(OR(B988="",I988&lt;&gt;"Save for a later revision"),"",IF(COUNTIF('Deferred edits'!$K$2:$K$201,A988)&gt;0,"Yes","● Add to Deferred edits"))</f>
        <v/>
      </c>
    </row>
    <row r="989" customFormat="false" ht="15" hidden="false" customHeight="false" outlineLevel="0" collapsed="false">
      <c r="A989" s="46" t="s">
        <v>1284</v>
      </c>
      <c r="B989" s="46"/>
      <c r="C989" s="46"/>
      <c r="D989" s="46"/>
      <c r="E989" s="46"/>
      <c r="F989" s="46"/>
      <c r="G989" s="46"/>
      <c r="H989" s="46"/>
      <c r="I989" s="46"/>
      <c r="J989" s="46"/>
      <c r="K989" s="46"/>
      <c r="L989" s="46"/>
      <c r="M989" s="46" t="str">
        <f aca="false">IF(OR(B989="",I989=""),"",IFERROR(INDEX('Comment flow'!$C$40:$C$46,MATCH(I989,'Comment flow'!$A$40:$A$46,0)),""))</f>
        <v/>
      </c>
      <c r="N989" s="46" t="str">
        <f aca="false">IF(B989="","",IF(OR(I989="",I989="Open: needs a decision",L989=""),"Open","Closed"))</f>
        <v/>
      </c>
      <c r="O989" s="46"/>
      <c r="P989" s="46" t="str">
        <f aca="false">IF(OR(B989="",I989&lt;&gt;"Save for a later revision"),"",IF(COUNTIF('Deferred edits'!$K$2:$K$201,A989)&gt;0,"Yes","● Add to Deferred edits"))</f>
        <v/>
      </c>
    </row>
    <row r="990" customFormat="false" ht="15" hidden="false" customHeight="false" outlineLevel="0" collapsed="false">
      <c r="A990" s="46" t="s">
        <v>1285</v>
      </c>
      <c r="B990" s="46"/>
      <c r="C990" s="46"/>
      <c r="D990" s="46"/>
      <c r="E990" s="46"/>
      <c r="F990" s="46"/>
      <c r="G990" s="46"/>
      <c r="H990" s="46"/>
      <c r="I990" s="46"/>
      <c r="J990" s="46"/>
      <c r="K990" s="46"/>
      <c r="L990" s="46"/>
      <c r="M990" s="46" t="str">
        <f aca="false">IF(OR(B990="",I990=""),"",IFERROR(INDEX('Comment flow'!$C$40:$C$46,MATCH(I990,'Comment flow'!$A$40:$A$46,0)),""))</f>
        <v/>
      </c>
      <c r="N990" s="46" t="str">
        <f aca="false">IF(B990="","",IF(OR(I990="",I990="Open: needs a decision",L990=""),"Open","Closed"))</f>
        <v/>
      </c>
      <c r="O990" s="46"/>
      <c r="P990" s="46" t="str">
        <f aca="false">IF(OR(B990="",I990&lt;&gt;"Save for a later revision"),"",IF(COUNTIF('Deferred edits'!$K$2:$K$201,A990)&gt;0,"Yes","● Add to Deferred edits"))</f>
        <v/>
      </c>
    </row>
    <row r="991" customFormat="false" ht="15" hidden="false" customHeight="false" outlineLevel="0" collapsed="false">
      <c r="A991" s="46" t="s">
        <v>1286</v>
      </c>
      <c r="B991" s="46"/>
      <c r="C991" s="46"/>
      <c r="D991" s="46"/>
      <c r="E991" s="46"/>
      <c r="F991" s="46"/>
      <c r="G991" s="46"/>
      <c r="H991" s="46"/>
      <c r="I991" s="46"/>
      <c r="J991" s="46"/>
      <c r="K991" s="46"/>
      <c r="L991" s="46"/>
      <c r="M991" s="46" t="str">
        <f aca="false">IF(OR(B991="",I991=""),"",IFERROR(INDEX('Comment flow'!$C$40:$C$46,MATCH(I991,'Comment flow'!$A$40:$A$46,0)),""))</f>
        <v/>
      </c>
      <c r="N991" s="46" t="str">
        <f aca="false">IF(B991="","",IF(OR(I991="",I991="Open: needs a decision",L991=""),"Open","Closed"))</f>
        <v/>
      </c>
      <c r="O991" s="46"/>
      <c r="P991" s="46" t="str">
        <f aca="false">IF(OR(B991="",I991&lt;&gt;"Save for a later revision"),"",IF(COUNTIF('Deferred edits'!$K$2:$K$201,A991)&gt;0,"Yes","● Add to Deferred edits"))</f>
        <v/>
      </c>
    </row>
    <row r="992" customFormat="false" ht="15" hidden="false" customHeight="false" outlineLevel="0" collapsed="false">
      <c r="A992" s="46" t="s">
        <v>1287</v>
      </c>
      <c r="B992" s="46"/>
      <c r="C992" s="46"/>
      <c r="D992" s="46"/>
      <c r="E992" s="46"/>
      <c r="F992" s="46"/>
      <c r="G992" s="46"/>
      <c r="H992" s="46"/>
      <c r="I992" s="46"/>
      <c r="J992" s="46"/>
      <c r="K992" s="46"/>
      <c r="L992" s="46"/>
      <c r="M992" s="46" t="str">
        <f aca="false">IF(OR(B992="",I992=""),"",IFERROR(INDEX('Comment flow'!$C$40:$C$46,MATCH(I992,'Comment flow'!$A$40:$A$46,0)),""))</f>
        <v/>
      </c>
      <c r="N992" s="46" t="str">
        <f aca="false">IF(B992="","",IF(OR(I992="",I992="Open: needs a decision",L992=""),"Open","Closed"))</f>
        <v/>
      </c>
      <c r="O992" s="46"/>
      <c r="P992" s="46" t="str">
        <f aca="false">IF(OR(B992="",I992&lt;&gt;"Save for a later revision"),"",IF(COUNTIF('Deferred edits'!$K$2:$K$201,A992)&gt;0,"Yes","● Add to Deferred edits"))</f>
        <v/>
      </c>
    </row>
    <row r="993" customFormat="false" ht="15" hidden="false" customHeight="false" outlineLevel="0" collapsed="false">
      <c r="A993" s="46" t="s">
        <v>1288</v>
      </c>
      <c r="B993" s="46"/>
      <c r="C993" s="46"/>
      <c r="D993" s="46"/>
      <c r="E993" s="46"/>
      <c r="F993" s="46"/>
      <c r="G993" s="46"/>
      <c r="H993" s="46"/>
      <c r="I993" s="46"/>
      <c r="J993" s="46"/>
      <c r="K993" s="46"/>
      <c r="L993" s="46"/>
      <c r="M993" s="46" t="str">
        <f aca="false">IF(OR(B993="",I993=""),"",IFERROR(INDEX('Comment flow'!$C$40:$C$46,MATCH(I993,'Comment flow'!$A$40:$A$46,0)),""))</f>
        <v/>
      </c>
      <c r="N993" s="46" t="str">
        <f aca="false">IF(B993="","",IF(OR(I993="",I993="Open: needs a decision",L993=""),"Open","Closed"))</f>
        <v/>
      </c>
      <c r="O993" s="46"/>
      <c r="P993" s="46" t="str">
        <f aca="false">IF(OR(B993="",I993&lt;&gt;"Save for a later revision"),"",IF(COUNTIF('Deferred edits'!$K$2:$K$201,A993)&gt;0,"Yes","● Add to Deferred edits"))</f>
        <v/>
      </c>
    </row>
    <row r="994" customFormat="false" ht="15" hidden="false" customHeight="false" outlineLevel="0" collapsed="false">
      <c r="A994" s="46" t="s">
        <v>1289</v>
      </c>
      <c r="B994" s="46"/>
      <c r="C994" s="46"/>
      <c r="D994" s="46"/>
      <c r="E994" s="46"/>
      <c r="F994" s="46"/>
      <c r="G994" s="46"/>
      <c r="H994" s="46"/>
      <c r="I994" s="46"/>
      <c r="J994" s="46"/>
      <c r="K994" s="46"/>
      <c r="L994" s="46"/>
      <c r="M994" s="46" t="str">
        <f aca="false">IF(OR(B994="",I994=""),"",IFERROR(INDEX('Comment flow'!$C$40:$C$46,MATCH(I994,'Comment flow'!$A$40:$A$46,0)),""))</f>
        <v/>
      </c>
      <c r="N994" s="46" t="str">
        <f aca="false">IF(B994="","",IF(OR(I994="",I994="Open: needs a decision",L994=""),"Open","Closed"))</f>
        <v/>
      </c>
      <c r="O994" s="46"/>
      <c r="P994" s="46" t="str">
        <f aca="false">IF(OR(B994="",I994&lt;&gt;"Save for a later revision"),"",IF(COUNTIF('Deferred edits'!$K$2:$K$201,A994)&gt;0,"Yes","● Add to Deferred edits"))</f>
        <v/>
      </c>
    </row>
    <row r="995" customFormat="false" ht="15" hidden="false" customHeight="false" outlineLevel="0" collapsed="false">
      <c r="A995" s="46" t="s">
        <v>1290</v>
      </c>
      <c r="B995" s="46"/>
      <c r="C995" s="46"/>
      <c r="D995" s="46"/>
      <c r="E995" s="46"/>
      <c r="F995" s="46"/>
      <c r="G995" s="46"/>
      <c r="H995" s="46"/>
      <c r="I995" s="46"/>
      <c r="J995" s="46"/>
      <c r="K995" s="46"/>
      <c r="L995" s="46"/>
      <c r="M995" s="46" t="str">
        <f aca="false">IF(OR(B995="",I995=""),"",IFERROR(INDEX('Comment flow'!$C$40:$C$46,MATCH(I995,'Comment flow'!$A$40:$A$46,0)),""))</f>
        <v/>
      </c>
      <c r="N995" s="46" t="str">
        <f aca="false">IF(B995="","",IF(OR(I995="",I995="Open: needs a decision",L995=""),"Open","Closed"))</f>
        <v/>
      </c>
      <c r="O995" s="46"/>
      <c r="P995" s="46" t="str">
        <f aca="false">IF(OR(B995="",I995&lt;&gt;"Save for a later revision"),"",IF(COUNTIF('Deferred edits'!$K$2:$K$201,A995)&gt;0,"Yes","● Add to Deferred edits"))</f>
        <v/>
      </c>
    </row>
    <row r="996" customFormat="false" ht="15" hidden="false" customHeight="false" outlineLevel="0" collapsed="false">
      <c r="A996" s="46" t="s">
        <v>1291</v>
      </c>
      <c r="B996" s="46"/>
      <c r="C996" s="46"/>
      <c r="D996" s="46"/>
      <c r="E996" s="46"/>
      <c r="F996" s="46"/>
      <c r="G996" s="46"/>
      <c r="H996" s="46"/>
      <c r="I996" s="46"/>
      <c r="J996" s="46"/>
      <c r="K996" s="46"/>
      <c r="L996" s="46"/>
      <c r="M996" s="46" t="str">
        <f aca="false">IF(OR(B996="",I996=""),"",IFERROR(INDEX('Comment flow'!$C$40:$C$46,MATCH(I996,'Comment flow'!$A$40:$A$46,0)),""))</f>
        <v/>
      </c>
      <c r="N996" s="46" t="str">
        <f aca="false">IF(B996="","",IF(OR(I996="",I996="Open: needs a decision",L996=""),"Open","Closed"))</f>
        <v/>
      </c>
      <c r="O996" s="46"/>
      <c r="P996" s="46" t="str">
        <f aca="false">IF(OR(B996="",I996&lt;&gt;"Save for a later revision"),"",IF(COUNTIF('Deferred edits'!$K$2:$K$201,A996)&gt;0,"Yes","● Add to Deferred edits"))</f>
        <v/>
      </c>
    </row>
    <row r="997" customFormat="false" ht="15" hidden="false" customHeight="false" outlineLevel="0" collapsed="false">
      <c r="A997" s="46" t="s">
        <v>1292</v>
      </c>
      <c r="B997" s="46"/>
      <c r="C997" s="46"/>
      <c r="D997" s="46"/>
      <c r="E997" s="46"/>
      <c r="F997" s="46"/>
      <c r="G997" s="46"/>
      <c r="H997" s="46"/>
      <c r="I997" s="46"/>
      <c r="J997" s="46"/>
      <c r="K997" s="46"/>
      <c r="L997" s="46"/>
      <c r="M997" s="46" t="str">
        <f aca="false">IF(OR(B997="",I997=""),"",IFERROR(INDEX('Comment flow'!$C$40:$C$46,MATCH(I997,'Comment flow'!$A$40:$A$46,0)),""))</f>
        <v/>
      </c>
      <c r="N997" s="46" t="str">
        <f aca="false">IF(B997="","",IF(OR(I997="",I997="Open: needs a decision",L997=""),"Open","Closed"))</f>
        <v/>
      </c>
      <c r="O997" s="46"/>
      <c r="P997" s="46" t="str">
        <f aca="false">IF(OR(B997="",I997&lt;&gt;"Save for a later revision"),"",IF(COUNTIF('Deferred edits'!$K$2:$K$201,A997)&gt;0,"Yes","● Add to Deferred edits"))</f>
        <v/>
      </c>
    </row>
    <row r="998" customFormat="false" ht="15" hidden="false" customHeight="false" outlineLevel="0" collapsed="false">
      <c r="A998" s="46" t="s">
        <v>1293</v>
      </c>
      <c r="B998" s="46"/>
      <c r="C998" s="46"/>
      <c r="D998" s="46"/>
      <c r="E998" s="46"/>
      <c r="F998" s="46"/>
      <c r="G998" s="46"/>
      <c r="H998" s="46"/>
      <c r="I998" s="46"/>
      <c r="J998" s="46"/>
      <c r="K998" s="46"/>
      <c r="L998" s="46"/>
      <c r="M998" s="46" t="str">
        <f aca="false">IF(OR(B998="",I998=""),"",IFERROR(INDEX('Comment flow'!$C$40:$C$46,MATCH(I998,'Comment flow'!$A$40:$A$46,0)),""))</f>
        <v/>
      </c>
      <c r="N998" s="46" t="str">
        <f aca="false">IF(B998="","",IF(OR(I998="",I998="Open: needs a decision",L998=""),"Open","Closed"))</f>
        <v/>
      </c>
      <c r="O998" s="46"/>
      <c r="P998" s="46" t="str">
        <f aca="false">IF(OR(B998="",I998&lt;&gt;"Save for a later revision"),"",IF(COUNTIF('Deferred edits'!$K$2:$K$201,A998)&gt;0,"Yes","● Add to Deferred edits"))</f>
        <v/>
      </c>
    </row>
    <row r="999" customFormat="false" ht="15" hidden="false" customHeight="false" outlineLevel="0" collapsed="false">
      <c r="A999" s="46" t="s">
        <v>1294</v>
      </c>
      <c r="B999" s="46"/>
      <c r="C999" s="46"/>
      <c r="D999" s="46"/>
      <c r="E999" s="46"/>
      <c r="F999" s="46"/>
      <c r="G999" s="46"/>
      <c r="H999" s="46"/>
      <c r="I999" s="46"/>
      <c r="J999" s="46"/>
      <c r="K999" s="46"/>
      <c r="L999" s="46"/>
      <c r="M999" s="46" t="str">
        <f aca="false">IF(OR(B999="",I999=""),"",IFERROR(INDEX('Comment flow'!$C$40:$C$46,MATCH(I999,'Comment flow'!$A$40:$A$46,0)),""))</f>
        <v/>
      </c>
      <c r="N999" s="46" t="str">
        <f aca="false">IF(B999="","",IF(OR(I999="",I999="Open: needs a decision",L999=""),"Open","Closed"))</f>
        <v/>
      </c>
      <c r="O999" s="46"/>
      <c r="P999" s="46" t="str">
        <f aca="false">IF(OR(B999="",I999&lt;&gt;"Save for a later revision"),"",IF(COUNTIF('Deferred edits'!$K$2:$K$201,A999)&gt;0,"Yes","● Add to Deferred edits"))</f>
        <v/>
      </c>
    </row>
    <row r="1000" customFormat="false" ht="15" hidden="false" customHeight="false" outlineLevel="0" collapsed="false">
      <c r="A1000" s="46" t="s">
        <v>1295</v>
      </c>
      <c r="B1000" s="46"/>
      <c r="C1000" s="46"/>
      <c r="D1000" s="46"/>
      <c r="E1000" s="46"/>
      <c r="F1000" s="46"/>
      <c r="G1000" s="46"/>
      <c r="H1000" s="46"/>
      <c r="I1000" s="46"/>
      <c r="J1000" s="46"/>
      <c r="K1000" s="46"/>
      <c r="L1000" s="46"/>
      <c r="M1000" s="46" t="str">
        <f aca="false">IF(OR(B1000="",I1000=""),"",IFERROR(INDEX('Comment flow'!$C$40:$C$46,MATCH(I1000,'Comment flow'!$A$40:$A$46,0)),""))</f>
        <v/>
      </c>
      <c r="N1000" s="46" t="str">
        <f aca="false">IF(B1000="","",IF(OR(I1000="",I1000="Open: needs a decision",L1000=""),"Open","Closed"))</f>
        <v/>
      </c>
      <c r="O1000" s="46"/>
      <c r="P1000" s="46" t="str">
        <f aca="false">IF(OR(B1000="",I1000&lt;&gt;"Save for a later revision"),"",IF(COUNTIF('Deferred edits'!$K$2:$K$201,A1000)&gt;0,"Yes","● Add to Deferred edits"))</f>
        <v/>
      </c>
    </row>
    <row r="1001" customFormat="false" ht="15" hidden="false" customHeight="false" outlineLevel="0" collapsed="false">
      <c r="A1001" s="46" t="s">
        <v>1296</v>
      </c>
      <c r="B1001" s="46"/>
      <c r="C1001" s="46"/>
      <c r="D1001" s="46"/>
      <c r="E1001" s="46"/>
      <c r="F1001" s="46"/>
      <c r="G1001" s="46"/>
      <c r="H1001" s="46"/>
      <c r="I1001" s="46"/>
      <c r="J1001" s="46"/>
      <c r="K1001" s="46"/>
      <c r="L1001" s="46"/>
      <c r="M1001" s="46" t="str">
        <f aca="false">IF(OR(B1001="",I1001=""),"",IFERROR(INDEX('Comment flow'!$C$40:$C$46,MATCH(I1001,'Comment flow'!$A$40:$A$46,0)),""))</f>
        <v/>
      </c>
      <c r="N1001" s="46" t="str">
        <f aca="false">IF(B1001="","",IF(OR(I1001="",I1001="Open: needs a decision",L1001=""),"Open","Closed"))</f>
        <v/>
      </c>
      <c r="O1001" s="46"/>
      <c r="P1001" s="46" t="str">
        <f aca="false">IF(OR(B1001="",I1001&lt;&gt;"Save for a later revision"),"",IF(COUNTIF('Deferred edits'!$K$2:$K$201,A1001)&gt;0,"Yes","● Add to Deferred edits"))</f>
        <v/>
      </c>
    </row>
    <row r="1002" customFormat="false" ht="15" hidden="false" customHeight="false" outlineLevel="0" collapsed="false">
      <c r="A1002" s="46" t="s">
        <v>1297</v>
      </c>
      <c r="B1002" s="46"/>
      <c r="C1002" s="46"/>
      <c r="D1002" s="46"/>
      <c r="E1002" s="46"/>
      <c r="F1002" s="46"/>
      <c r="G1002" s="46"/>
      <c r="H1002" s="46"/>
      <c r="I1002" s="46"/>
      <c r="J1002" s="46"/>
      <c r="K1002" s="46"/>
      <c r="L1002" s="46"/>
      <c r="M1002" s="46" t="str">
        <f aca="false">IF(OR(B1002="",I1002=""),"",IFERROR(INDEX('Comment flow'!$C$40:$C$46,MATCH(I1002,'Comment flow'!$A$40:$A$46,0)),""))</f>
        <v/>
      </c>
      <c r="N1002" s="46" t="str">
        <f aca="false">IF(B1002="","",IF(OR(I1002="",I1002="Open: needs a decision",L1002=""),"Open","Closed"))</f>
        <v/>
      </c>
      <c r="O1002" s="46"/>
      <c r="P1002" s="46" t="str">
        <f aca="false">IF(OR(B1002="",I1002&lt;&gt;"Save for a later revision"),"",IF(COUNTIF('Deferred edits'!$K$2:$K$201,A1002)&gt;0,"Yes","● Add to Deferred edits"))</f>
        <v/>
      </c>
    </row>
    <row r="1003" customFormat="false" ht="15" hidden="false" customHeight="false" outlineLevel="0" collapsed="false">
      <c r="A1003" s="46" t="s">
        <v>1298</v>
      </c>
      <c r="B1003" s="46"/>
      <c r="C1003" s="46"/>
      <c r="D1003" s="46"/>
      <c r="E1003" s="46"/>
      <c r="F1003" s="46"/>
      <c r="G1003" s="46"/>
      <c r="H1003" s="46"/>
      <c r="I1003" s="46"/>
      <c r="J1003" s="46"/>
      <c r="K1003" s="46"/>
      <c r="L1003" s="46"/>
      <c r="M1003" s="46" t="str">
        <f aca="false">IF(OR(B1003="",I1003=""),"",IFERROR(INDEX('Comment flow'!$C$40:$C$46,MATCH(I1003,'Comment flow'!$A$40:$A$46,0)),""))</f>
        <v/>
      </c>
      <c r="N1003" s="46" t="str">
        <f aca="false">IF(B1003="","",IF(OR(I1003="",I1003="Open: needs a decision",L1003=""),"Open","Closed"))</f>
        <v/>
      </c>
      <c r="O1003" s="46"/>
      <c r="P1003" s="46" t="str">
        <f aca="false">IF(OR(B1003="",I1003&lt;&gt;"Save for a later revision"),"",IF(COUNTIF('Deferred edits'!$K$2:$K$201,A1003)&gt;0,"Yes","● Add to Deferred edits"))</f>
        <v/>
      </c>
    </row>
    <row r="1004" customFormat="false" ht="15" hidden="false" customHeight="false" outlineLevel="0" collapsed="false">
      <c r="A1004" s="46" t="s">
        <v>1299</v>
      </c>
      <c r="B1004" s="46"/>
      <c r="C1004" s="46"/>
      <c r="D1004" s="46"/>
      <c r="E1004" s="46"/>
      <c r="F1004" s="46"/>
      <c r="G1004" s="46"/>
      <c r="H1004" s="46"/>
      <c r="I1004" s="46"/>
      <c r="J1004" s="46"/>
      <c r="K1004" s="46"/>
      <c r="L1004" s="46"/>
      <c r="M1004" s="46" t="str">
        <f aca="false">IF(OR(B1004="",I1004=""),"",IFERROR(INDEX('Comment flow'!$C$40:$C$46,MATCH(I1004,'Comment flow'!$A$40:$A$46,0)),""))</f>
        <v/>
      </c>
      <c r="N1004" s="46" t="str">
        <f aca="false">IF(B1004="","",IF(OR(I1004="",I1004="Open: needs a decision",L1004=""),"Open","Closed"))</f>
        <v/>
      </c>
      <c r="O1004" s="46"/>
      <c r="P1004" s="46" t="str">
        <f aca="false">IF(OR(B1004="",I1004&lt;&gt;"Save for a later revision"),"",IF(COUNTIF('Deferred edits'!$K$2:$K$201,A1004)&gt;0,"Yes","● Add to Deferred edits"))</f>
        <v/>
      </c>
    </row>
    <row r="1005" customFormat="false" ht="15" hidden="false" customHeight="false" outlineLevel="0" collapsed="false">
      <c r="A1005" s="46" t="s">
        <v>1300</v>
      </c>
      <c r="B1005" s="46"/>
      <c r="C1005" s="46"/>
      <c r="D1005" s="46"/>
      <c r="E1005" s="46"/>
      <c r="F1005" s="46"/>
      <c r="G1005" s="46"/>
      <c r="H1005" s="46"/>
      <c r="I1005" s="46"/>
      <c r="J1005" s="46"/>
      <c r="K1005" s="46"/>
      <c r="L1005" s="46"/>
      <c r="M1005" s="46" t="str">
        <f aca="false">IF(OR(B1005="",I1005=""),"",IFERROR(INDEX('Comment flow'!$C$40:$C$46,MATCH(I1005,'Comment flow'!$A$40:$A$46,0)),""))</f>
        <v/>
      </c>
      <c r="N1005" s="46" t="str">
        <f aca="false">IF(B1005="","",IF(OR(I1005="",I1005="Open: needs a decision",L1005=""),"Open","Closed"))</f>
        <v/>
      </c>
      <c r="O1005" s="46"/>
      <c r="P1005" s="46" t="str">
        <f aca="false">IF(OR(B1005="",I1005&lt;&gt;"Save for a later revision"),"",IF(COUNTIF('Deferred edits'!$K$2:$K$201,A1005)&gt;0,"Yes","● Add to Deferred edits"))</f>
        <v/>
      </c>
    </row>
    <row r="1006" customFormat="false" ht="15" hidden="false" customHeight="false" outlineLevel="0" collapsed="false">
      <c r="A1006" s="46" t="s">
        <v>1301</v>
      </c>
      <c r="B1006" s="46"/>
      <c r="C1006" s="46"/>
      <c r="D1006" s="46"/>
      <c r="E1006" s="46"/>
      <c r="F1006" s="46"/>
      <c r="G1006" s="46"/>
      <c r="H1006" s="46"/>
      <c r="I1006" s="46"/>
      <c r="J1006" s="46"/>
      <c r="K1006" s="46"/>
      <c r="L1006" s="46"/>
      <c r="M1006" s="46" t="str">
        <f aca="false">IF(OR(B1006="",I1006=""),"",IFERROR(INDEX('Comment flow'!$C$40:$C$46,MATCH(I1006,'Comment flow'!$A$40:$A$46,0)),""))</f>
        <v/>
      </c>
      <c r="N1006" s="46" t="str">
        <f aca="false">IF(B1006="","",IF(OR(I1006="",I1006="Open: needs a decision",L1006=""),"Open","Closed"))</f>
        <v/>
      </c>
      <c r="O1006" s="46"/>
      <c r="P1006" s="46" t="str">
        <f aca="false">IF(OR(B1006="",I1006&lt;&gt;"Save for a later revision"),"",IF(COUNTIF('Deferred edits'!$K$2:$K$201,A1006)&gt;0,"Yes","● Add to Deferred edits"))</f>
        <v/>
      </c>
    </row>
    <row r="1007" customFormat="false" ht="15" hidden="false" customHeight="false" outlineLevel="0" collapsed="false">
      <c r="A1007" s="46" t="s">
        <v>1302</v>
      </c>
      <c r="B1007" s="46"/>
      <c r="C1007" s="46"/>
      <c r="D1007" s="46"/>
      <c r="E1007" s="46"/>
      <c r="F1007" s="46"/>
      <c r="G1007" s="46"/>
      <c r="H1007" s="46"/>
      <c r="I1007" s="46"/>
      <c r="J1007" s="46"/>
      <c r="K1007" s="46"/>
      <c r="L1007" s="46"/>
      <c r="M1007" s="46" t="str">
        <f aca="false">IF(OR(B1007="",I1007=""),"",IFERROR(INDEX('Comment flow'!$C$40:$C$46,MATCH(I1007,'Comment flow'!$A$40:$A$46,0)),""))</f>
        <v/>
      </c>
      <c r="N1007" s="46" t="str">
        <f aca="false">IF(B1007="","",IF(OR(I1007="",I1007="Open: needs a decision",L1007=""),"Open","Closed"))</f>
        <v/>
      </c>
      <c r="O1007" s="46"/>
      <c r="P1007" s="46" t="str">
        <f aca="false">IF(OR(B1007="",I1007&lt;&gt;"Save for a later revision"),"",IF(COUNTIF('Deferred edits'!$K$2:$K$201,A1007)&gt;0,"Yes","● Add to Deferred edits"))</f>
        <v/>
      </c>
    </row>
    <row r="1008" customFormat="false" ht="15" hidden="false" customHeight="false" outlineLevel="0" collapsed="false">
      <c r="A1008" s="46" t="s">
        <v>1303</v>
      </c>
      <c r="B1008" s="46"/>
      <c r="C1008" s="46"/>
      <c r="D1008" s="46"/>
      <c r="E1008" s="46"/>
      <c r="F1008" s="46"/>
      <c r="G1008" s="46"/>
      <c r="H1008" s="46"/>
      <c r="I1008" s="46"/>
      <c r="J1008" s="46"/>
      <c r="K1008" s="46"/>
      <c r="L1008" s="46"/>
      <c r="M1008" s="46" t="str">
        <f aca="false">IF(OR(B1008="",I1008=""),"",IFERROR(INDEX('Comment flow'!$C$40:$C$46,MATCH(I1008,'Comment flow'!$A$40:$A$46,0)),""))</f>
        <v/>
      </c>
      <c r="N1008" s="46" t="str">
        <f aca="false">IF(B1008="","",IF(OR(I1008="",I1008="Open: needs a decision",L1008=""),"Open","Closed"))</f>
        <v/>
      </c>
      <c r="O1008" s="46"/>
      <c r="P1008" s="46" t="str">
        <f aca="false">IF(OR(B1008="",I1008&lt;&gt;"Save for a later revision"),"",IF(COUNTIF('Deferred edits'!$K$2:$K$201,A1008)&gt;0,"Yes","● Add to Deferred edits"))</f>
        <v/>
      </c>
    </row>
    <row r="1009" customFormat="false" ht="15" hidden="false" customHeight="false" outlineLevel="0" collapsed="false">
      <c r="A1009" s="46" t="s">
        <v>1304</v>
      </c>
      <c r="B1009" s="46"/>
      <c r="C1009" s="46"/>
      <c r="D1009" s="46"/>
      <c r="E1009" s="46"/>
      <c r="F1009" s="46"/>
      <c r="G1009" s="46"/>
      <c r="H1009" s="46"/>
      <c r="I1009" s="46"/>
      <c r="J1009" s="46"/>
      <c r="K1009" s="46"/>
      <c r="L1009" s="46"/>
      <c r="M1009" s="46" t="str">
        <f aca="false">IF(OR(B1009="",I1009=""),"",IFERROR(INDEX('Comment flow'!$C$40:$C$46,MATCH(I1009,'Comment flow'!$A$40:$A$46,0)),""))</f>
        <v/>
      </c>
      <c r="N1009" s="46" t="str">
        <f aca="false">IF(B1009="","",IF(OR(I1009="",I1009="Open: needs a decision",L1009=""),"Open","Closed"))</f>
        <v/>
      </c>
      <c r="O1009" s="46"/>
      <c r="P1009" s="46" t="str">
        <f aca="false">IF(OR(B1009="",I1009&lt;&gt;"Save for a later revision"),"",IF(COUNTIF('Deferred edits'!$K$2:$K$201,A1009)&gt;0,"Yes","● Add to Deferred edits"))</f>
        <v/>
      </c>
    </row>
    <row r="1010" customFormat="false" ht="15" hidden="false" customHeight="false" outlineLevel="0" collapsed="false">
      <c r="A1010" s="46" t="s">
        <v>1305</v>
      </c>
      <c r="B1010" s="46"/>
      <c r="C1010" s="46"/>
      <c r="D1010" s="46"/>
      <c r="E1010" s="46"/>
      <c r="F1010" s="46"/>
      <c r="G1010" s="46"/>
      <c r="H1010" s="46"/>
      <c r="I1010" s="46"/>
      <c r="J1010" s="46"/>
      <c r="K1010" s="46"/>
      <c r="L1010" s="46"/>
      <c r="M1010" s="46" t="str">
        <f aca="false">IF(OR(B1010="",I1010=""),"",IFERROR(INDEX('Comment flow'!$C$40:$C$46,MATCH(I1010,'Comment flow'!$A$40:$A$46,0)),""))</f>
        <v/>
      </c>
      <c r="N1010" s="46" t="str">
        <f aca="false">IF(B1010="","",IF(OR(I1010="",I1010="Open: needs a decision",L1010=""),"Open","Closed"))</f>
        <v/>
      </c>
      <c r="O1010" s="46"/>
      <c r="P1010" s="46" t="str">
        <f aca="false">IF(OR(B1010="",I1010&lt;&gt;"Save for a later revision"),"",IF(COUNTIF('Deferred edits'!$K$2:$K$201,A1010)&gt;0,"Yes","● Add to Deferred edits"))</f>
        <v/>
      </c>
    </row>
    <row r="1011" customFormat="false" ht="15" hidden="false" customHeight="false" outlineLevel="0" collapsed="false">
      <c r="A1011" s="46" t="s">
        <v>1306</v>
      </c>
      <c r="B1011" s="46"/>
      <c r="C1011" s="46"/>
      <c r="D1011" s="46"/>
      <c r="E1011" s="46"/>
      <c r="F1011" s="46"/>
      <c r="G1011" s="46"/>
      <c r="H1011" s="46"/>
      <c r="I1011" s="46"/>
      <c r="J1011" s="46"/>
      <c r="K1011" s="46"/>
      <c r="L1011" s="46"/>
      <c r="M1011" s="46" t="str">
        <f aca="false">IF(OR(B1011="",I1011=""),"",IFERROR(INDEX('Comment flow'!$C$40:$C$46,MATCH(I1011,'Comment flow'!$A$40:$A$46,0)),""))</f>
        <v/>
      </c>
      <c r="N1011" s="46" t="str">
        <f aca="false">IF(B1011="","",IF(OR(I1011="",I1011="Open: needs a decision",L1011=""),"Open","Closed"))</f>
        <v/>
      </c>
      <c r="O1011" s="46"/>
      <c r="P1011" s="46" t="str">
        <f aca="false">IF(OR(B1011="",I1011&lt;&gt;"Save for a later revision"),"",IF(COUNTIF('Deferred edits'!$K$2:$K$201,A1011)&gt;0,"Yes","● Add to Deferred edits"))</f>
        <v/>
      </c>
    </row>
    <row r="1012" customFormat="false" ht="15" hidden="false" customHeight="false" outlineLevel="0" collapsed="false">
      <c r="A1012" s="46" t="s">
        <v>1307</v>
      </c>
      <c r="B1012" s="46"/>
      <c r="C1012" s="46"/>
      <c r="D1012" s="46"/>
      <c r="E1012" s="46"/>
      <c r="F1012" s="46"/>
      <c r="G1012" s="46"/>
      <c r="H1012" s="46"/>
      <c r="I1012" s="46"/>
      <c r="J1012" s="46"/>
      <c r="K1012" s="46"/>
      <c r="L1012" s="46"/>
      <c r="M1012" s="46" t="str">
        <f aca="false">IF(OR(B1012="",I1012=""),"",IFERROR(INDEX('Comment flow'!$C$40:$C$46,MATCH(I1012,'Comment flow'!$A$40:$A$46,0)),""))</f>
        <v/>
      </c>
      <c r="N1012" s="46" t="str">
        <f aca="false">IF(B1012="","",IF(OR(I1012="",I1012="Open: needs a decision",L1012=""),"Open","Closed"))</f>
        <v/>
      </c>
      <c r="O1012" s="46"/>
      <c r="P1012" s="46" t="str">
        <f aca="false">IF(OR(B1012="",I1012&lt;&gt;"Save for a later revision"),"",IF(COUNTIF('Deferred edits'!$K$2:$K$201,A1012)&gt;0,"Yes","● Add to Deferred edits"))</f>
        <v/>
      </c>
    </row>
    <row r="1013" customFormat="false" ht="15" hidden="false" customHeight="false" outlineLevel="0" collapsed="false">
      <c r="A1013" s="46" t="s">
        <v>1308</v>
      </c>
      <c r="B1013" s="46"/>
      <c r="C1013" s="46"/>
      <c r="D1013" s="46"/>
      <c r="E1013" s="46"/>
      <c r="F1013" s="46"/>
      <c r="G1013" s="46"/>
      <c r="H1013" s="46"/>
      <c r="I1013" s="46"/>
      <c r="J1013" s="46"/>
      <c r="K1013" s="46"/>
      <c r="L1013" s="46"/>
      <c r="M1013" s="46" t="str">
        <f aca="false">IF(OR(B1013="",I1013=""),"",IFERROR(INDEX('Comment flow'!$C$40:$C$46,MATCH(I1013,'Comment flow'!$A$40:$A$46,0)),""))</f>
        <v/>
      </c>
      <c r="N1013" s="46" t="str">
        <f aca="false">IF(B1013="","",IF(OR(I1013="",I1013="Open: needs a decision",L1013=""),"Open","Closed"))</f>
        <v/>
      </c>
      <c r="O1013" s="46"/>
      <c r="P1013" s="46" t="str">
        <f aca="false">IF(OR(B1013="",I1013&lt;&gt;"Save for a later revision"),"",IF(COUNTIF('Deferred edits'!$K$2:$K$201,A1013)&gt;0,"Yes","● Add to Deferred edits"))</f>
        <v/>
      </c>
    </row>
    <row r="1014" customFormat="false" ht="15" hidden="false" customHeight="false" outlineLevel="0" collapsed="false">
      <c r="A1014" s="46" t="s">
        <v>1309</v>
      </c>
      <c r="B1014" s="46"/>
      <c r="C1014" s="46"/>
      <c r="D1014" s="46"/>
      <c r="E1014" s="46"/>
      <c r="F1014" s="46"/>
      <c r="G1014" s="46"/>
      <c r="H1014" s="46"/>
      <c r="I1014" s="46"/>
      <c r="J1014" s="46"/>
      <c r="K1014" s="46"/>
      <c r="L1014" s="46"/>
      <c r="M1014" s="46" t="str">
        <f aca="false">IF(OR(B1014="",I1014=""),"",IFERROR(INDEX('Comment flow'!$C$40:$C$46,MATCH(I1014,'Comment flow'!$A$40:$A$46,0)),""))</f>
        <v/>
      </c>
      <c r="N1014" s="46" t="str">
        <f aca="false">IF(B1014="","",IF(OR(I1014="",I1014="Open: needs a decision",L1014=""),"Open","Closed"))</f>
        <v/>
      </c>
      <c r="O1014" s="46"/>
      <c r="P1014" s="46" t="str">
        <f aca="false">IF(OR(B1014="",I1014&lt;&gt;"Save for a later revision"),"",IF(COUNTIF('Deferred edits'!$K$2:$K$201,A1014)&gt;0,"Yes","● Add to Deferred edits"))</f>
        <v/>
      </c>
    </row>
    <row r="1015" customFormat="false" ht="15" hidden="false" customHeight="false" outlineLevel="0" collapsed="false">
      <c r="A1015" s="46" t="s">
        <v>1310</v>
      </c>
      <c r="B1015" s="46"/>
      <c r="C1015" s="46"/>
      <c r="D1015" s="46"/>
      <c r="E1015" s="46"/>
      <c r="F1015" s="46"/>
      <c r="G1015" s="46"/>
      <c r="H1015" s="46"/>
      <c r="I1015" s="46"/>
      <c r="J1015" s="46"/>
      <c r="K1015" s="46"/>
      <c r="L1015" s="46"/>
      <c r="M1015" s="46" t="str">
        <f aca="false">IF(OR(B1015="",I1015=""),"",IFERROR(INDEX('Comment flow'!$C$40:$C$46,MATCH(I1015,'Comment flow'!$A$40:$A$46,0)),""))</f>
        <v/>
      </c>
      <c r="N1015" s="46" t="str">
        <f aca="false">IF(B1015="","",IF(OR(I1015="",I1015="Open: needs a decision",L1015=""),"Open","Closed"))</f>
        <v/>
      </c>
      <c r="O1015" s="46"/>
      <c r="P1015" s="46" t="str">
        <f aca="false">IF(OR(B1015="",I1015&lt;&gt;"Save for a later revision"),"",IF(COUNTIF('Deferred edits'!$K$2:$K$201,A1015)&gt;0,"Yes","● Add to Deferred edits"))</f>
        <v/>
      </c>
    </row>
    <row r="1016" customFormat="false" ht="15" hidden="false" customHeight="false" outlineLevel="0" collapsed="false">
      <c r="A1016" s="46" t="s">
        <v>1311</v>
      </c>
      <c r="B1016" s="46"/>
      <c r="C1016" s="46"/>
      <c r="D1016" s="46"/>
      <c r="E1016" s="46"/>
      <c r="F1016" s="46"/>
      <c r="G1016" s="46"/>
      <c r="H1016" s="46"/>
      <c r="I1016" s="46"/>
      <c r="J1016" s="46"/>
      <c r="K1016" s="46"/>
      <c r="L1016" s="46"/>
      <c r="M1016" s="46" t="str">
        <f aca="false">IF(OR(B1016="",I1016=""),"",IFERROR(INDEX('Comment flow'!$C$40:$C$46,MATCH(I1016,'Comment flow'!$A$40:$A$46,0)),""))</f>
        <v/>
      </c>
      <c r="N1016" s="46" t="str">
        <f aca="false">IF(B1016="","",IF(OR(I1016="",I1016="Open: needs a decision",L1016=""),"Open","Closed"))</f>
        <v/>
      </c>
      <c r="O1016" s="46"/>
      <c r="P1016" s="46" t="str">
        <f aca="false">IF(OR(B1016="",I1016&lt;&gt;"Save for a later revision"),"",IF(COUNTIF('Deferred edits'!$K$2:$K$201,A1016)&gt;0,"Yes","● Add to Deferred edits"))</f>
        <v/>
      </c>
    </row>
    <row r="1017" customFormat="false" ht="15" hidden="false" customHeight="false" outlineLevel="0" collapsed="false">
      <c r="A1017" s="46" t="s">
        <v>1312</v>
      </c>
      <c r="B1017" s="46"/>
      <c r="C1017" s="46"/>
      <c r="D1017" s="46"/>
      <c r="E1017" s="46"/>
      <c r="F1017" s="46"/>
      <c r="G1017" s="46"/>
      <c r="H1017" s="46"/>
      <c r="I1017" s="46"/>
      <c r="J1017" s="46"/>
      <c r="K1017" s="46"/>
      <c r="L1017" s="46"/>
      <c r="M1017" s="46" t="str">
        <f aca="false">IF(OR(B1017="",I1017=""),"",IFERROR(INDEX('Comment flow'!$C$40:$C$46,MATCH(I1017,'Comment flow'!$A$40:$A$46,0)),""))</f>
        <v/>
      </c>
      <c r="N1017" s="46" t="str">
        <f aca="false">IF(B1017="","",IF(OR(I1017="",I1017="Open: needs a decision",L1017=""),"Open","Closed"))</f>
        <v/>
      </c>
      <c r="O1017" s="46"/>
      <c r="P1017" s="46" t="str">
        <f aca="false">IF(OR(B1017="",I1017&lt;&gt;"Save for a later revision"),"",IF(COUNTIF('Deferred edits'!$K$2:$K$201,A1017)&gt;0,"Yes","● Add to Deferred edits"))</f>
        <v/>
      </c>
    </row>
    <row r="1018" customFormat="false" ht="15" hidden="false" customHeight="false" outlineLevel="0" collapsed="false">
      <c r="A1018" s="46" t="s">
        <v>1313</v>
      </c>
      <c r="B1018" s="46"/>
      <c r="C1018" s="46"/>
      <c r="D1018" s="46"/>
      <c r="E1018" s="46"/>
      <c r="F1018" s="46"/>
      <c r="G1018" s="46"/>
      <c r="H1018" s="46"/>
      <c r="I1018" s="46"/>
      <c r="J1018" s="46"/>
      <c r="K1018" s="46"/>
      <c r="L1018" s="46"/>
      <c r="M1018" s="46" t="str">
        <f aca="false">IF(OR(B1018="",I1018=""),"",IFERROR(INDEX('Comment flow'!$C$40:$C$46,MATCH(I1018,'Comment flow'!$A$40:$A$46,0)),""))</f>
        <v/>
      </c>
      <c r="N1018" s="46" t="str">
        <f aca="false">IF(B1018="","",IF(OR(I1018="",I1018="Open: needs a decision",L1018=""),"Open","Closed"))</f>
        <v/>
      </c>
      <c r="O1018" s="46"/>
      <c r="P1018" s="46" t="str">
        <f aca="false">IF(OR(B1018="",I1018&lt;&gt;"Save for a later revision"),"",IF(COUNTIF('Deferred edits'!$K$2:$K$201,A1018)&gt;0,"Yes","● Add to Deferred edits"))</f>
        <v/>
      </c>
    </row>
    <row r="1019" customFormat="false" ht="15" hidden="false" customHeight="false" outlineLevel="0" collapsed="false">
      <c r="A1019" s="46" t="s">
        <v>1314</v>
      </c>
      <c r="B1019" s="46"/>
      <c r="C1019" s="46"/>
      <c r="D1019" s="46"/>
      <c r="E1019" s="46"/>
      <c r="F1019" s="46"/>
      <c r="G1019" s="46"/>
      <c r="H1019" s="46"/>
      <c r="I1019" s="46"/>
      <c r="J1019" s="46"/>
      <c r="K1019" s="46"/>
      <c r="L1019" s="46"/>
      <c r="M1019" s="46" t="str">
        <f aca="false">IF(OR(B1019="",I1019=""),"",IFERROR(INDEX('Comment flow'!$C$40:$C$46,MATCH(I1019,'Comment flow'!$A$40:$A$46,0)),""))</f>
        <v/>
      </c>
      <c r="N1019" s="46" t="str">
        <f aca="false">IF(B1019="","",IF(OR(I1019="",I1019="Open: needs a decision",L1019=""),"Open","Closed"))</f>
        <v/>
      </c>
      <c r="O1019" s="46"/>
      <c r="P1019" s="46" t="str">
        <f aca="false">IF(OR(B1019="",I1019&lt;&gt;"Save for a later revision"),"",IF(COUNTIF('Deferred edits'!$K$2:$K$201,A1019)&gt;0,"Yes","● Add to Deferred edits"))</f>
        <v/>
      </c>
    </row>
    <row r="1020" customFormat="false" ht="15" hidden="false" customHeight="false" outlineLevel="0" collapsed="false">
      <c r="A1020" s="46" t="s">
        <v>1315</v>
      </c>
      <c r="B1020" s="46"/>
      <c r="C1020" s="46"/>
      <c r="D1020" s="46"/>
      <c r="E1020" s="46"/>
      <c r="F1020" s="46"/>
      <c r="G1020" s="46"/>
      <c r="H1020" s="46"/>
      <c r="I1020" s="46"/>
      <c r="J1020" s="46"/>
      <c r="K1020" s="46"/>
      <c r="L1020" s="46"/>
      <c r="M1020" s="46" t="str">
        <f aca="false">IF(OR(B1020="",I1020=""),"",IFERROR(INDEX('Comment flow'!$C$40:$C$46,MATCH(I1020,'Comment flow'!$A$40:$A$46,0)),""))</f>
        <v/>
      </c>
      <c r="N1020" s="46" t="str">
        <f aca="false">IF(B1020="","",IF(OR(I1020="",I1020="Open: needs a decision",L1020=""),"Open","Closed"))</f>
        <v/>
      </c>
      <c r="O1020" s="46"/>
      <c r="P1020" s="46" t="str">
        <f aca="false">IF(OR(B1020="",I1020&lt;&gt;"Save for a later revision"),"",IF(COUNTIF('Deferred edits'!$K$2:$K$201,A1020)&gt;0,"Yes","● Add to Deferred edits"))</f>
        <v/>
      </c>
    </row>
    <row r="1021" customFormat="false" ht="15" hidden="false" customHeight="false" outlineLevel="0" collapsed="false">
      <c r="A1021" s="46" t="s">
        <v>1316</v>
      </c>
      <c r="B1021" s="46"/>
      <c r="C1021" s="46"/>
      <c r="D1021" s="46"/>
      <c r="E1021" s="46"/>
      <c r="F1021" s="46"/>
      <c r="G1021" s="46"/>
      <c r="H1021" s="46"/>
      <c r="I1021" s="46"/>
      <c r="J1021" s="46"/>
      <c r="K1021" s="46"/>
      <c r="L1021" s="46"/>
      <c r="M1021" s="46" t="str">
        <f aca="false">IF(OR(B1021="",I1021=""),"",IFERROR(INDEX('Comment flow'!$C$40:$C$46,MATCH(I1021,'Comment flow'!$A$40:$A$46,0)),""))</f>
        <v/>
      </c>
      <c r="N1021" s="46" t="str">
        <f aca="false">IF(B1021="","",IF(OR(I1021="",I1021="Open: needs a decision",L1021=""),"Open","Closed"))</f>
        <v/>
      </c>
      <c r="O1021" s="46"/>
      <c r="P1021" s="46" t="str">
        <f aca="false">IF(OR(B1021="",I1021&lt;&gt;"Save for a later revision"),"",IF(COUNTIF('Deferred edits'!$K$2:$K$201,A1021)&gt;0,"Yes","● Add to Deferred edits"))</f>
        <v/>
      </c>
    </row>
    <row r="1022" customFormat="false" ht="15" hidden="false" customHeight="false" outlineLevel="0" collapsed="false">
      <c r="A1022" s="46" t="s">
        <v>1317</v>
      </c>
      <c r="B1022" s="46"/>
      <c r="C1022" s="46"/>
      <c r="D1022" s="46"/>
      <c r="E1022" s="46"/>
      <c r="F1022" s="46"/>
      <c r="G1022" s="46"/>
      <c r="H1022" s="46"/>
      <c r="I1022" s="46"/>
      <c r="J1022" s="46"/>
      <c r="K1022" s="46"/>
      <c r="L1022" s="46"/>
      <c r="M1022" s="46" t="str">
        <f aca="false">IF(OR(B1022="",I1022=""),"",IFERROR(INDEX('Comment flow'!$C$40:$C$46,MATCH(I1022,'Comment flow'!$A$40:$A$46,0)),""))</f>
        <v/>
      </c>
      <c r="N1022" s="46" t="str">
        <f aca="false">IF(B1022="","",IF(OR(I1022="",I1022="Open: needs a decision",L1022=""),"Open","Closed"))</f>
        <v/>
      </c>
      <c r="O1022" s="46"/>
      <c r="P1022" s="46" t="str">
        <f aca="false">IF(OR(B1022="",I1022&lt;&gt;"Save for a later revision"),"",IF(COUNTIF('Deferred edits'!$K$2:$K$201,A1022)&gt;0,"Yes","● Add to Deferred edits"))</f>
        <v/>
      </c>
    </row>
    <row r="1023" customFormat="false" ht="15" hidden="false" customHeight="false" outlineLevel="0" collapsed="false">
      <c r="A1023" s="46" t="s">
        <v>1318</v>
      </c>
      <c r="B1023" s="46"/>
      <c r="C1023" s="46"/>
      <c r="D1023" s="46"/>
      <c r="E1023" s="46"/>
      <c r="F1023" s="46"/>
      <c r="G1023" s="46"/>
      <c r="H1023" s="46"/>
      <c r="I1023" s="46"/>
      <c r="J1023" s="46"/>
      <c r="K1023" s="46"/>
      <c r="L1023" s="46"/>
      <c r="M1023" s="46" t="str">
        <f aca="false">IF(OR(B1023="",I1023=""),"",IFERROR(INDEX('Comment flow'!$C$40:$C$46,MATCH(I1023,'Comment flow'!$A$40:$A$46,0)),""))</f>
        <v/>
      </c>
      <c r="N1023" s="46" t="str">
        <f aca="false">IF(B1023="","",IF(OR(I1023="",I1023="Open: needs a decision",L1023=""),"Open","Closed"))</f>
        <v/>
      </c>
      <c r="O1023" s="46"/>
      <c r="P1023" s="46" t="str">
        <f aca="false">IF(OR(B1023="",I1023&lt;&gt;"Save for a later revision"),"",IF(COUNTIF('Deferred edits'!$K$2:$K$201,A1023)&gt;0,"Yes","● Add to Deferred edits"))</f>
        <v/>
      </c>
    </row>
    <row r="1024" customFormat="false" ht="15" hidden="false" customHeight="false" outlineLevel="0" collapsed="false">
      <c r="A1024" s="46" t="s">
        <v>1319</v>
      </c>
      <c r="B1024" s="46"/>
      <c r="C1024" s="46"/>
      <c r="D1024" s="46"/>
      <c r="E1024" s="46"/>
      <c r="F1024" s="46"/>
      <c r="G1024" s="46"/>
      <c r="H1024" s="46"/>
      <c r="I1024" s="46"/>
      <c r="J1024" s="46"/>
      <c r="K1024" s="46"/>
      <c r="L1024" s="46"/>
      <c r="M1024" s="46" t="str">
        <f aca="false">IF(OR(B1024="",I1024=""),"",IFERROR(INDEX('Comment flow'!$C$40:$C$46,MATCH(I1024,'Comment flow'!$A$40:$A$46,0)),""))</f>
        <v/>
      </c>
      <c r="N1024" s="46" t="str">
        <f aca="false">IF(B1024="","",IF(OR(I1024="",I1024="Open: needs a decision",L1024=""),"Open","Closed"))</f>
        <v/>
      </c>
      <c r="O1024" s="46"/>
      <c r="P1024" s="46" t="str">
        <f aca="false">IF(OR(B1024="",I1024&lt;&gt;"Save for a later revision"),"",IF(COUNTIF('Deferred edits'!$K$2:$K$201,A1024)&gt;0,"Yes","● Add to Deferred edits"))</f>
        <v/>
      </c>
    </row>
    <row r="1025" customFormat="false" ht="15" hidden="false" customHeight="false" outlineLevel="0" collapsed="false">
      <c r="A1025" s="46" t="s">
        <v>1320</v>
      </c>
      <c r="B1025" s="46"/>
      <c r="C1025" s="46"/>
      <c r="D1025" s="46"/>
      <c r="E1025" s="46"/>
      <c r="F1025" s="46"/>
      <c r="G1025" s="46"/>
      <c r="H1025" s="46"/>
      <c r="I1025" s="46"/>
      <c r="J1025" s="46"/>
      <c r="K1025" s="46"/>
      <c r="L1025" s="46"/>
      <c r="M1025" s="46" t="str">
        <f aca="false">IF(OR(B1025="",I1025=""),"",IFERROR(INDEX('Comment flow'!$C$40:$C$46,MATCH(I1025,'Comment flow'!$A$40:$A$46,0)),""))</f>
        <v/>
      </c>
      <c r="N1025" s="46" t="str">
        <f aca="false">IF(B1025="","",IF(OR(I1025="",I1025="Open: needs a decision",L1025=""),"Open","Closed"))</f>
        <v/>
      </c>
      <c r="O1025" s="46"/>
      <c r="P1025" s="46" t="str">
        <f aca="false">IF(OR(B1025="",I1025&lt;&gt;"Save for a later revision"),"",IF(COUNTIF('Deferred edits'!$K$2:$K$201,A1025)&gt;0,"Yes","● Add to Deferred edits"))</f>
        <v/>
      </c>
    </row>
    <row r="1026" customFormat="false" ht="15" hidden="false" customHeight="false" outlineLevel="0" collapsed="false">
      <c r="A1026" s="46" t="s">
        <v>1321</v>
      </c>
      <c r="B1026" s="46"/>
      <c r="C1026" s="46"/>
      <c r="D1026" s="46"/>
      <c r="E1026" s="46"/>
      <c r="F1026" s="46"/>
      <c r="G1026" s="46"/>
      <c r="H1026" s="46"/>
      <c r="I1026" s="46"/>
      <c r="J1026" s="46"/>
      <c r="K1026" s="46"/>
      <c r="L1026" s="46"/>
      <c r="M1026" s="46" t="str">
        <f aca="false">IF(OR(B1026="",I1026=""),"",IFERROR(INDEX('Comment flow'!$C$40:$C$46,MATCH(I1026,'Comment flow'!$A$40:$A$46,0)),""))</f>
        <v/>
      </c>
      <c r="N1026" s="46" t="str">
        <f aca="false">IF(B1026="","",IF(OR(I1026="",I1026="Open: needs a decision",L1026=""),"Open","Closed"))</f>
        <v/>
      </c>
      <c r="O1026" s="46"/>
      <c r="P1026" s="46" t="str">
        <f aca="false">IF(OR(B1026="",I1026&lt;&gt;"Save for a later revision"),"",IF(COUNTIF('Deferred edits'!$K$2:$K$201,A1026)&gt;0,"Yes","● Add to Deferred edits"))</f>
        <v/>
      </c>
    </row>
    <row r="1027" customFormat="false" ht="15" hidden="false" customHeight="false" outlineLevel="0" collapsed="false">
      <c r="A1027" s="46" t="s">
        <v>1322</v>
      </c>
      <c r="B1027" s="46"/>
      <c r="C1027" s="46"/>
      <c r="D1027" s="46"/>
      <c r="E1027" s="46"/>
      <c r="F1027" s="46"/>
      <c r="G1027" s="46"/>
      <c r="H1027" s="46"/>
      <c r="I1027" s="46"/>
      <c r="J1027" s="46"/>
      <c r="K1027" s="46"/>
      <c r="L1027" s="46"/>
      <c r="M1027" s="46" t="str">
        <f aca="false">IF(OR(B1027="",I1027=""),"",IFERROR(INDEX('Comment flow'!$C$40:$C$46,MATCH(I1027,'Comment flow'!$A$40:$A$46,0)),""))</f>
        <v/>
      </c>
      <c r="N1027" s="46" t="str">
        <f aca="false">IF(B1027="","",IF(OR(I1027="",I1027="Open: needs a decision",L1027=""),"Open","Closed"))</f>
        <v/>
      </c>
      <c r="O1027" s="46"/>
      <c r="P1027" s="46" t="str">
        <f aca="false">IF(OR(B1027="",I1027&lt;&gt;"Save for a later revision"),"",IF(COUNTIF('Deferred edits'!$K$2:$K$201,A1027)&gt;0,"Yes","● Add to Deferred edits"))</f>
        <v/>
      </c>
    </row>
    <row r="1028" customFormat="false" ht="15" hidden="false" customHeight="false" outlineLevel="0" collapsed="false">
      <c r="A1028" s="46" t="s">
        <v>1323</v>
      </c>
      <c r="B1028" s="46"/>
      <c r="C1028" s="46"/>
      <c r="D1028" s="46"/>
      <c r="E1028" s="46"/>
      <c r="F1028" s="46"/>
      <c r="G1028" s="46"/>
      <c r="H1028" s="46"/>
      <c r="I1028" s="46"/>
      <c r="J1028" s="46"/>
      <c r="K1028" s="46"/>
      <c r="L1028" s="46"/>
      <c r="M1028" s="46" t="str">
        <f aca="false">IF(OR(B1028="",I1028=""),"",IFERROR(INDEX('Comment flow'!$C$40:$C$46,MATCH(I1028,'Comment flow'!$A$40:$A$46,0)),""))</f>
        <v/>
      </c>
      <c r="N1028" s="46" t="str">
        <f aca="false">IF(B1028="","",IF(OR(I1028="",I1028="Open: needs a decision",L1028=""),"Open","Closed"))</f>
        <v/>
      </c>
      <c r="O1028" s="46"/>
      <c r="P1028" s="46" t="str">
        <f aca="false">IF(OR(B1028="",I1028&lt;&gt;"Save for a later revision"),"",IF(COUNTIF('Deferred edits'!$K$2:$K$201,A1028)&gt;0,"Yes","● Add to Deferred edits"))</f>
        <v/>
      </c>
    </row>
    <row r="1029" customFormat="false" ht="15" hidden="false" customHeight="false" outlineLevel="0" collapsed="false">
      <c r="A1029" s="46" t="s">
        <v>1324</v>
      </c>
      <c r="B1029" s="46"/>
      <c r="C1029" s="46"/>
      <c r="D1029" s="46"/>
      <c r="E1029" s="46"/>
      <c r="F1029" s="46"/>
      <c r="G1029" s="46"/>
      <c r="H1029" s="46"/>
      <c r="I1029" s="46"/>
      <c r="J1029" s="46"/>
      <c r="K1029" s="46"/>
      <c r="L1029" s="46"/>
      <c r="M1029" s="46" t="str">
        <f aca="false">IF(OR(B1029="",I1029=""),"",IFERROR(INDEX('Comment flow'!$C$40:$C$46,MATCH(I1029,'Comment flow'!$A$40:$A$46,0)),""))</f>
        <v/>
      </c>
      <c r="N1029" s="46" t="str">
        <f aca="false">IF(B1029="","",IF(OR(I1029="",I1029="Open: needs a decision",L1029=""),"Open","Closed"))</f>
        <v/>
      </c>
      <c r="O1029" s="46"/>
      <c r="P1029" s="46" t="str">
        <f aca="false">IF(OR(B1029="",I1029&lt;&gt;"Save for a later revision"),"",IF(COUNTIF('Deferred edits'!$K$2:$K$201,A1029)&gt;0,"Yes","● Add to Deferred edits"))</f>
        <v/>
      </c>
    </row>
    <row r="1030" customFormat="false" ht="15" hidden="false" customHeight="false" outlineLevel="0" collapsed="false">
      <c r="A1030" s="46" t="s">
        <v>1325</v>
      </c>
      <c r="B1030" s="46"/>
      <c r="C1030" s="46"/>
      <c r="D1030" s="46"/>
      <c r="E1030" s="46"/>
      <c r="F1030" s="46"/>
      <c r="G1030" s="46"/>
      <c r="H1030" s="46"/>
      <c r="I1030" s="46"/>
      <c r="J1030" s="46"/>
      <c r="K1030" s="46"/>
      <c r="L1030" s="46"/>
      <c r="M1030" s="46" t="str">
        <f aca="false">IF(OR(B1030="",I1030=""),"",IFERROR(INDEX('Comment flow'!$C$40:$C$46,MATCH(I1030,'Comment flow'!$A$40:$A$46,0)),""))</f>
        <v/>
      </c>
      <c r="N1030" s="46" t="str">
        <f aca="false">IF(B1030="","",IF(OR(I1030="",I1030="Open: needs a decision",L1030=""),"Open","Closed"))</f>
        <v/>
      </c>
      <c r="O1030" s="46"/>
      <c r="P1030" s="46" t="str">
        <f aca="false">IF(OR(B1030="",I1030&lt;&gt;"Save for a later revision"),"",IF(COUNTIF('Deferred edits'!$K$2:$K$201,A1030)&gt;0,"Yes","● Add to Deferred edits"))</f>
        <v/>
      </c>
    </row>
    <row r="1031" customFormat="false" ht="15" hidden="false" customHeight="false" outlineLevel="0" collapsed="false">
      <c r="A1031" s="46" t="s">
        <v>1326</v>
      </c>
      <c r="B1031" s="46"/>
      <c r="C1031" s="46"/>
      <c r="D1031" s="46"/>
      <c r="E1031" s="46"/>
      <c r="F1031" s="46"/>
      <c r="G1031" s="46"/>
      <c r="H1031" s="46"/>
      <c r="I1031" s="46"/>
      <c r="J1031" s="46"/>
      <c r="K1031" s="46"/>
      <c r="L1031" s="46"/>
      <c r="M1031" s="46" t="str">
        <f aca="false">IF(OR(B1031="",I1031=""),"",IFERROR(INDEX('Comment flow'!$C$40:$C$46,MATCH(I1031,'Comment flow'!$A$40:$A$46,0)),""))</f>
        <v/>
      </c>
      <c r="N1031" s="46" t="str">
        <f aca="false">IF(B1031="","",IF(OR(I1031="",I1031="Open: needs a decision",L1031=""),"Open","Closed"))</f>
        <v/>
      </c>
      <c r="O1031" s="46"/>
      <c r="P1031" s="46" t="str">
        <f aca="false">IF(OR(B1031="",I1031&lt;&gt;"Save for a later revision"),"",IF(COUNTIF('Deferred edits'!$K$2:$K$201,A1031)&gt;0,"Yes","● Add to Deferred edits"))</f>
        <v/>
      </c>
    </row>
    <row r="1032" customFormat="false" ht="15" hidden="false" customHeight="false" outlineLevel="0" collapsed="false">
      <c r="A1032" s="46" t="s">
        <v>1327</v>
      </c>
      <c r="B1032" s="46"/>
      <c r="C1032" s="46"/>
      <c r="D1032" s="46"/>
      <c r="E1032" s="46"/>
      <c r="F1032" s="46"/>
      <c r="G1032" s="46"/>
      <c r="H1032" s="46"/>
      <c r="I1032" s="46"/>
      <c r="J1032" s="46"/>
      <c r="K1032" s="46"/>
      <c r="L1032" s="46"/>
      <c r="M1032" s="46" t="str">
        <f aca="false">IF(OR(B1032="",I1032=""),"",IFERROR(INDEX('Comment flow'!$C$40:$C$46,MATCH(I1032,'Comment flow'!$A$40:$A$46,0)),""))</f>
        <v/>
      </c>
      <c r="N1032" s="46" t="str">
        <f aca="false">IF(B1032="","",IF(OR(I1032="",I1032="Open: needs a decision",L1032=""),"Open","Closed"))</f>
        <v/>
      </c>
      <c r="O1032" s="46"/>
      <c r="P1032" s="46" t="str">
        <f aca="false">IF(OR(B1032="",I1032&lt;&gt;"Save for a later revision"),"",IF(COUNTIF('Deferred edits'!$K$2:$K$201,A1032)&gt;0,"Yes","● Add to Deferred edits"))</f>
        <v/>
      </c>
    </row>
    <row r="1033" customFormat="false" ht="15" hidden="false" customHeight="false" outlineLevel="0" collapsed="false">
      <c r="A1033" s="46" t="s">
        <v>1328</v>
      </c>
      <c r="B1033" s="46"/>
      <c r="C1033" s="46"/>
      <c r="D1033" s="46"/>
      <c r="E1033" s="46"/>
      <c r="F1033" s="46"/>
      <c r="G1033" s="46"/>
      <c r="H1033" s="46"/>
      <c r="I1033" s="46"/>
      <c r="J1033" s="46"/>
      <c r="K1033" s="46"/>
      <c r="L1033" s="46"/>
      <c r="M1033" s="46" t="str">
        <f aca="false">IF(OR(B1033="",I1033=""),"",IFERROR(INDEX('Comment flow'!$C$40:$C$46,MATCH(I1033,'Comment flow'!$A$40:$A$46,0)),""))</f>
        <v/>
      </c>
      <c r="N1033" s="46" t="str">
        <f aca="false">IF(B1033="","",IF(OR(I1033="",I1033="Open: needs a decision",L1033=""),"Open","Closed"))</f>
        <v/>
      </c>
      <c r="O1033" s="46"/>
      <c r="P1033" s="46" t="str">
        <f aca="false">IF(OR(B1033="",I1033&lt;&gt;"Save for a later revision"),"",IF(COUNTIF('Deferred edits'!$K$2:$K$201,A1033)&gt;0,"Yes","● Add to Deferred edits"))</f>
        <v/>
      </c>
    </row>
    <row r="1034" customFormat="false" ht="15" hidden="false" customHeight="false" outlineLevel="0" collapsed="false">
      <c r="A1034" s="46" t="s">
        <v>1329</v>
      </c>
      <c r="B1034" s="46"/>
      <c r="C1034" s="46"/>
      <c r="D1034" s="46"/>
      <c r="E1034" s="46"/>
      <c r="F1034" s="46"/>
      <c r="G1034" s="46"/>
      <c r="H1034" s="46"/>
      <c r="I1034" s="46"/>
      <c r="J1034" s="46"/>
      <c r="K1034" s="46"/>
      <c r="L1034" s="46"/>
      <c r="M1034" s="46" t="str">
        <f aca="false">IF(OR(B1034="",I1034=""),"",IFERROR(INDEX('Comment flow'!$C$40:$C$46,MATCH(I1034,'Comment flow'!$A$40:$A$46,0)),""))</f>
        <v/>
      </c>
      <c r="N1034" s="46" t="str">
        <f aca="false">IF(B1034="","",IF(OR(I1034="",I1034="Open: needs a decision",L1034=""),"Open","Closed"))</f>
        <v/>
      </c>
      <c r="O1034" s="46"/>
      <c r="P1034" s="46" t="str">
        <f aca="false">IF(OR(B1034="",I1034&lt;&gt;"Save for a later revision"),"",IF(COUNTIF('Deferred edits'!$K$2:$K$201,A1034)&gt;0,"Yes","● Add to Deferred edits"))</f>
        <v/>
      </c>
    </row>
    <row r="1035" customFormat="false" ht="15" hidden="false" customHeight="false" outlineLevel="0" collapsed="false">
      <c r="A1035" s="46" t="s">
        <v>1330</v>
      </c>
      <c r="B1035" s="46"/>
      <c r="C1035" s="46"/>
      <c r="D1035" s="46"/>
      <c r="E1035" s="46"/>
      <c r="F1035" s="46"/>
      <c r="G1035" s="46"/>
      <c r="H1035" s="46"/>
      <c r="I1035" s="46"/>
      <c r="J1035" s="46"/>
      <c r="K1035" s="46"/>
      <c r="L1035" s="46"/>
      <c r="M1035" s="46" t="str">
        <f aca="false">IF(OR(B1035="",I1035=""),"",IFERROR(INDEX('Comment flow'!$C$40:$C$46,MATCH(I1035,'Comment flow'!$A$40:$A$46,0)),""))</f>
        <v/>
      </c>
      <c r="N1035" s="46" t="str">
        <f aca="false">IF(B1035="","",IF(OR(I1035="",I1035="Open: needs a decision",L1035=""),"Open","Closed"))</f>
        <v/>
      </c>
      <c r="O1035" s="46"/>
      <c r="P1035" s="46" t="str">
        <f aca="false">IF(OR(B1035="",I1035&lt;&gt;"Save for a later revision"),"",IF(COUNTIF('Deferred edits'!$K$2:$K$201,A1035)&gt;0,"Yes","● Add to Deferred edits"))</f>
        <v/>
      </c>
    </row>
    <row r="1036" customFormat="false" ht="15" hidden="false" customHeight="false" outlineLevel="0" collapsed="false">
      <c r="A1036" s="46" t="s">
        <v>1331</v>
      </c>
      <c r="B1036" s="46"/>
      <c r="C1036" s="46"/>
      <c r="D1036" s="46"/>
      <c r="E1036" s="46"/>
      <c r="F1036" s="46"/>
      <c r="G1036" s="46"/>
      <c r="H1036" s="46"/>
      <c r="I1036" s="46"/>
      <c r="J1036" s="46"/>
      <c r="K1036" s="46"/>
      <c r="L1036" s="46"/>
      <c r="M1036" s="46" t="str">
        <f aca="false">IF(OR(B1036="",I1036=""),"",IFERROR(INDEX('Comment flow'!$C$40:$C$46,MATCH(I1036,'Comment flow'!$A$40:$A$46,0)),""))</f>
        <v/>
      </c>
      <c r="N1036" s="46" t="str">
        <f aca="false">IF(B1036="","",IF(OR(I1036="",I1036="Open: needs a decision",L1036=""),"Open","Closed"))</f>
        <v/>
      </c>
      <c r="O1036" s="46"/>
      <c r="P1036" s="46" t="str">
        <f aca="false">IF(OR(B1036="",I1036&lt;&gt;"Save for a later revision"),"",IF(COUNTIF('Deferred edits'!$K$2:$K$201,A1036)&gt;0,"Yes","● Add to Deferred edits"))</f>
        <v/>
      </c>
    </row>
    <row r="1037" customFormat="false" ht="15" hidden="false" customHeight="false" outlineLevel="0" collapsed="false">
      <c r="A1037" s="46" t="s">
        <v>1332</v>
      </c>
      <c r="B1037" s="46"/>
      <c r="C1037" s="46"/>
      <c r="D1037" s="46"/>
      <c r="E1037" s="46"/>
      <c r="F1037" s="46"/>
      <c r="G1037" s="46"/>
      <c r="H1037" s="46"/>
      <c r="I1037" s="46"/>
      <c r="J1037" s="46"/>
      <c r="K1037" s="46"/>
      <c r="L1037" s="46"/>
      <c r="M1037" s="46" t="str">
        <f aca="false">IF(OR(B1037="",I1037=""),"",IFERROR(INDEX('Comment flow'!$C$40:$C$46,MATCH(I1037,'Comment flow'!$A$40:$A$46,0)),""))</f>
        <v/>
      </c>
      <c r="N1037" s="46" t="str">
        <f aca="false">IF(B1037="","",IF(OR(I1037="",I1037="Open: needs a decision",L1037=""),"Open","Closed"))</f>
        <v/>
      </c>
      <c r="O1037" s="46"/>
      <c r="P1037" s="46" t="str">
        <f aca="false">IF(OR(B1037="",I1037&lt;&gt;"Save for a later revision"),"",IF(COUNTIF('Deferred edits'!$K$2:$K$201,A1037)&gt;0,"Yes","● Add to Deferred edits"))</f>
        <v/>
      </c>
    </row>
    <row r="1038" customFormat="false" ht="15" hidden="false" customHeight="false" outlineLevel="0" collapsed="false">
      <c r="A1038" s="46" t="s">
        <v>1333</v>
      </c>
      <c r="B1038" s="46"/>
      <c r="C1038" s="46"/>
      <c r="D1038" s="46"/>
      <c r="E1038" s="46"/>
      <c r="F1038" s="46"/>
      <c r="G1038" s="46"/>
      <c r="H1038" s="46"/>
      <c r="I1038" s="46"/>
      <c r="J1038" s="46"/>
      <c r="K1038" s="46"/>
      <c r="L1038" s="46"/>
      <c r="M1038" s="46" t="str">
        <f aca="false">IF(OR(B1038="",I1038=""),"",IFERROR(INDEX('Comment flow'!$C$40:$C$46,MATCH(I1038,'Comment flow'!$A$40:$A$46,0)),""))</f>
        <v/>
      </c>
      <c r="N1038" s="46" t="str">
        <f aca="false">IF(B1038="","",IF(OR(I1038="",I1038="Open: needs a decision",L1038=""),"Open","Closed"))</f>
        <v/>
      </c>
      <c r="O1038" s="46"/>
      <c r="P1038" s="46" t="str">
        <f aca="false">IF(OR(B1038="",I1038&lt;&gt;"Save for a later revision"),"",IF(COUNTIF('Deferred edits'!$K$2:$K$201,A1038)&gt;0,"Yes","● Add to Deferred edits"))</f>
        <v/>
      </c>
    </row>
    <row r="1039" customFormat="false" ht="15" hidden="false" customHeight="false" outlineLevel="0" collapsed="false">
      <c r="A1039" s="46" t="s">
        <v>1334</v>
      </c>
      <c r="B1039" s="46"/>
      <c r="C1039" s="46"/>
      <c r="D1039" s="46"/>
      <c r="E1039" s="46"/>
      <c r="F1039" s="46"/>
      <c r="G1039" s="46"/>
      <c r="H1039" s="46"/>
      <c r="I1039" s="46"/>
      <c r="J1039" s="46"/>
      <c r="K1039" s="46"/>
      <c r="L1039" s="46"/>
      <c r="M1039" s="46" t="str">
        <f aca="false">IF(OR(B1039="",I1039=""),"",IFERROR(INDEX('Comment flow'!$C$40:$C$46,MATCH(I1039,'Comment flow'!$A$40:$A$46,0)),""))</f>
        <v/>
      </c>
      <c r="N1039" s="46" t="str">
        <f aca="false">IF(B1039="","",IF(OR(I1039="",I1039="Open: needs a decision",L1039=""),"Open","Closed"))</f>
        <v/>
      </c>
      <c r="O1039" s="46"/>
      <c r="P1039" s="46" t="str">
        <f aca="false">IF(OR(B1039="",I1039&lt;&gt;"Save for a later revision"),"",IF(COUNTIF('Deferred edits'!$K$2:$K$201,A1039)&gt;0,"Yes","● Add to Deferred edits"))</f>
        <v/>
      </c>
    </row>
    <row r="1040" customFormat="false" ht="15" hidden="false" customHeight="false" outlineLevel="0" collapsed="false">
      <c r="A1040" s="46" t="s">
        <v>1335</v>
      </c>
      <c r="B1040" s="46"/>
      <c r="C1040" s="46"/>
      <c r="D1040" s="46"/>
      <c r="E1040" s="46"/>
      <c r="F1040" s="46"/>
      <c r="G1040" s="46"/>
      <c r="H1040" s="46"/>
      <c r="I1040" s="46"/>
      <c r="J1040" s="46"/>
      <c r="K1040" s="46"/>
      <c r="L1040" s="46"/>
      <c r="M1040" s="46" t="str">
        <f aca="false">IF(OR(B1040="",I1040=""),"",IFERROR(INDEX('Comment flow'!$C$40:$C$46,MATCH(I1040,'Comment flow'!$A$40:$A$46,0)),""))</f>
        <v/>
      </c>
      <c r="N1040" s="46" t="str">
        <f aca="false">IF(B1040="","",IF(OR(I1040="",I1040="Open: needs a decision",L1040=""),"Open","Closed"))</f>
        <v/>
      </c>
      <c r="O1040" s="46"/>
      <c r="P1040" s="46" t="str">
        <f aca="false">IF(OR(B1040="",I1040&lt;&gt;"Save for a later revision"),"",IF(COUNTIF('Deferred edits'!$K$2:$K$201,A1040)&gt;0,"Yes","● Add to Deferred edits"))</f>
        <v/>
      </c>
    </row>
    <row r="1041" customFormat="false" ht="15" hidden="false" customHeight="false" outlineLevel="0" collapsed="false">
      <c r="A1041" s="46" t="s">
        <v>1336</v>
      </c>
      <c r="B1041" s="46"/>
      <c r="C1041" s="46"/>
      <c r="D1041" s="46"/>
      <c r="E1041" s="46"/>
      <c r="F1041" s="46"/>
      <c r="G1041" s="46"/>
      <c r="H1041" s="46"/>
      <c r="I1041" s="46"/>
      <c r="J1041" s="46"/>
      <c r="K1041" s="46"/>
      <c r="L1041" s="46"/>
      <c r="M1041" s="46" t="str">
        <f aca="false">IF(OR(B1041="",I1041=""),"",IFERROR(INDEX('Comment flow'!$C$40:$C$46,MATCH(I1041,'Comment flow'!$A$40:$A$46,0)),""))</f>
        <v/>
      </c>
      <c r="N1041" s="46" t="str">
        <f aca="false">IF(B1041="","",IF(OR(I1041="",I1041="Open: needs a decision",L1041=""),"Open","Closed"))</f>
        <v/>
      </c>
      <c r="O1041" s="46"/>
      <c r="P1041" s="46" t="str">
        <f aca="false">IF(OR(B1041="",I1041&lt;&gt;"Save for a later revision"),"",IF(COUNTIF('Deferred edits'!$K$2:$K$201,A1041)&gt;0,"Yes","● Add to Deferred edits"))</f>
        <v/>
      </c>
    </row>
    <row r="1042" customFormat="false" ht="15" hidden="false" customHeight="false" outlineLevel="0" collapsed="false">
      <c r="A1042" s="46" t="s">
        <v>1337</v>
      </c>
      <c r="B1042" s="46"/>
      <c r="C1042" s="46"/>
      <c r="D1042" s="46"/>
      <c r="E1042" s="46"/>
      <c r="F1042" s="46"/>
      <c r="G1042" s="46"/>
      <c r="H1042" s="46"/>
      <c r="I1042" s="46"/>
      <c r="J1042" s="46"/>
      <c r="K1042" s="46"/>
      <c r="L1042" s="46"/>
      <c r="M1042" s="46" t="str">
        <f aca="false">IF(OR(B1042="",I1042=""),"",IFERROR(INDEX('Comment flow'!$C$40:$C$46,MATCH(I1042,'Comment flow'!$A$40:$A$46,0)),""))</f>
        <v/>
      </c>
      <c r="N1042" s="46" t="str">
        <f aca="false">IF(B1042="","",IF(OR(I1042="",I1042="Open: needs a decision",L1042=""),"Open","Closed"))</f>
        <v/>
      </c>
      <c r="O1042" s="46"/>
      <c r="P1042" s="46" t="str">
        <f aca="false">IF(OR(B1042="",I1042&lt;&gt;"Save for a later revision"),"",IF(COUNTIF('Deferred edits'!$K$2:$K$201,A1042)&gt;0,"Yes","● Add to Deferred edits"))</f>
        <v/>
      </c>
    </row>
    <row r="1043" customFormat="false" ht="15" hidden="false" customHeight="false" outlineLevel="0" collapsed="false">
      <c r="A1043" s="46" t="s">
        <v>1338</v>
      </c>
      <c r="B1043" s="46"/>
      <c r="C1043" s="46"/>
      <c r="D1043" s="46"/>
      <c r="E1043" s="46"/>
      <c r="F1043" s="46"/>
      <c r="G1043" s="46"/>
      <c r="H1043" s="46"/>
      <c r="I1043" s="46"/>
      <c r="J1043" s="46"/>
      <c r="K1043" s="46"/>
      <c r="L1043" s="46"/>
      <c r="M1043" s="46" t="str">
        <f aca="false">IF(OR(B1043="",I1043=""),"",IFERROR(INDEX('Comment flow'!$C$40:$C$46,MATCH(I1043,'Comment flow'!$A$40:$A$46,0)),""))</f>
        <v/>
      </c>
      <c r="N1043" s="46" t="str">
        <f aca="false">IF(B1043="","",IF(OR(I1043="",I1043="Open: needs a decision",L1043=""),"Open","Closed"))</f>
        <v/>
      </c>
      <c r="O1043" s="46"/>
      <c r="P1043" s="46" t="str">
        <f aca="false">IF(OR(B1043="",I1043&lt;&gt;"Save for a later revision"),"",IF(COUNTIF('Deferred edits'!$K$2:$K$201,A1043)&gt;0,"Yes","● Add to Deferred edits"))</f>
        <v/>
      </c>
    </row>
    <row r="1044" customFormat="false" ht="15" hidden="false" customHeight="false" outlineLevel="0" collapsed="false">
      <c r="A1044" s="46" t="s">
        <v>1339</v>
      </c>
      <c r="B1044" s="46"/>
      <c r="C1044" s="46"/>
      <c r="D1044" s="46"/>
      <c r="E1044" s="46"/>
      <c r="F1044" s="46"/>
      <c r="G1044" s="46"/>
      <c r="H1044" s="46"/>
      <c r="I1044" s="46"/>
      <c r="J1044" s="46"/>
      <c r="K1044" s="46"/>
      <c r="L1044" s="46"/>
      <c r="M1044" s="46" t="str">
        <f aca="false">IF(OR(B1044="",I1044=""),"",IFERROR(INDEX('Comment flow'!$C$40:$C$46,MATCH(I1044,'Comment flow'!$A$40:$A$46,0)),""))</f>
        <v/>
      </c>
      <c r="N1044" s="46" t="str">
        <f aca="false">IF(B1044="","",IF(OR(I1044="",I1044="Open: needs a decision",L1044=""),"Open","Closed"))</f>
        <v/>
      </c>
      <c r="O1044" s="46"/>
      <c r="P1044" s="46" t="str">
        <f aca="false">IF(OR(B1044="",I1044&lt;&gt;"Save for a later revision"),"",IF(COUNTIF('Deferred edits'!$K$2:$K$201,A1044)&gt;0,"Yes","● Add to Deferred edits"))</f>
        <v/>
      </c>
    </row>
    <row r="1045" customFormat="false" ht="15" hidden="false" customHeight="false" outlineLevel="0" collapsed="false">
      <c r="A1045" s="46" t="s">
        <v>1340</v>
      </c>
      <c r="B1045" s="46"/>
      <c r="C1045" s="46"/>
      <c r="D1045" s="46"/>
      <c r="E1045" s="46"/>
      <c r="F1045" s="46"/>
      <c r="G1045" s="46"/>
      <c r="H1045" s="46"/>
      <c r="I1045" s="46"/>
      <c r="J1045" s="46"/>
      <c r="K1045" s="46"/>
      <c r="L1045" s="46"/>
      <c r="M1045" s="46" t="str">
        <f aca="false">IF(OR(B1045="",I1045=""),"",IFERROR(INDEX('Comment flow'!$C$40:$C$46,MATCH(I1045,'Comment flow'!$A$40:$A$46,0)),""))</f>
        <v/>
      </c>
      <c r="N1045" s="46" t="str">
        <f aca="false">IF(B1045="","",IF(OR(I1045="",I1045="Open: needs a decision",L1045=""),"Open","Closed"))</f>
        <v/>
      </c>
      <c r="O1045" s="46"/>
      <c r="P1045" s="46" t="str">
        <f aca="false">IF(OR(B1045="",I1045&lt;&gt;"Save for a later revision"),"",IF(COUNTIF('Deferred edits'!$K$2:$K$201,A1045)&gt;0,"Yes","● Add to Deferred edits"))</f>
        <v/>
      </c>
    </row>
    <row r="1046" customFormat="false" ht="15" hidden="false" customHeight="false" outlineLevel="0" collapsed="false">
      <c r="A1046" s="46" t="s">
        <v>1341</v>
      </c>
      <c r="B1046" s="46"/>
      <c r="C1046" s="46"/>
      <c r="D1046" s="46"/>
      <c r="E1046" s="46"/>
      <c r="F1046" s="46"/>
      <c r="G1046" s="46"/>
      <c r="H1046" s="46"/>
      <c r="I1046" s="46"/>
      <c r="J1046" s="46"/>
      <c r="K1046" s="46"/>
      <c r="L1046" s="46"/>
      <c r="M1046" s="46" t="str">
        <f aca="false">IF(OR(B1046="",I1046=""),"",IFERROR(INDEX('Comment flow'!$C$40:$C$46,MATCH(I1046,'Comment flow'!$A$40:$A$46,0)),""))</f>
        <v/>
      </c>
      <c r="N1046" s="46" t="str">
        <f aca="false">IF(B1046="","",IF(OR(I1046="",I1046="Open: needs a decision",L1046=""),"Open","Closed"))</f>
        <v/>
      </c>
      <c r="O1046" s="46"/>
      <c r="P1046" s="46" t="str">
        <f aca="false">IF(OR(B1046="",I1046&lt;&gt;"Save for a later revision"),"",IF(COUNTIF('Deferred edits'!$K$2:$K$201,A1046)&gt;0,"Yes","● Add to Deferred edits"))</f>
        <v/>
      </c>
    </row>
    <row r="1047" customFormat="false" ht="15" hidden="false" customHeight="false" outlineLevel="0" collapsed="false">
      <c r="A1047" s="46" t="s">
        <v>1342</v>
      </c>
      <c r="B1047" s="46"/>
      <c r="C1047" s="46"/>
      <c r="D1047" s="46"/>
      <c r="E1047" s="46"/>
      <c r="F1047" s="46"/>
      <c r="G1047" s="46"/>
      <c r="H1047" s="46"/>
      <c r="I1047" s="46"/>
      <c r="J1047" s="46"/>
      <c r="K1047" s="46"/>
      <c r="L1047" s="46"/>
      <c r="M1047" s="46" t="str">
        <f aca="false">IF(OR(B1047="",I1047=""),"",IFERROR(INDEX('Comment flow'!$C$40:$C$46,MATCH(I1047,'Comment flow'!$A$40:$A$46,0)),""))</f>
        <v/>
      </c>
      <c r="N1047" s="46" t="str">
        <f aca="false">IF(B1047="","",IF(OR(I1047="",I1047="Open: needs a decision",L1047=""),"Open","Closed"))</f>
        <v/>
      </c>
      <c r="O1047" s="46"/>
      <c r="P1047" s="46" t="str">
        <f aca="false">IF(OR(B1047="",I1047&lt;&gt;"Save for a later revision"),"",IF(COUNTIF('Deferred edits'!$K$2:$K$201,A1047)&gt;0,"Yes","● Add to Deferred edits"))</f>
        <v/>
      </c>
    </row>
    <row r="1048" customFormat="false" ht="15" hidden="false" customHeight="false" outlineLevel="0" collapsed="false">
      <c r="A1048" s="46" t="s">
        <v>1343</v>
      </c>
      <c r="B1048" s="46"/>
      <c r="C1048" s="46"/>
      <c r="D1048" s="46"/>
      <c r="E1048" s="46"/>
      <c r="F1048" s="46"/>
      <c r="G1048" s="46"/>
      <c r="H1048" s="46"/>
      <c r="I1048" s="46"/>
      <c r="J1048" s="46"/>
      <c r="K1048" s="46"/>
      <c r="L1048" s="46"/>
      <c r="M1048" s="46" t="str">
        <f aca="false">IF(OR(B1048="",I1048=""),"",IFERROR(INDEX('Comment flow'!$C$40:$C$46,MATCH(I1048,'Comment flow'!$A$40:$A$46,0)),""))</f>
        <v/>
      </c>
      <c r="N1048" s="46" t="str">
        <f aca="false">IF(B1048="","",IF(OR(I1048="",I1048="Open: needs a decision",L1048=""),"Open","Closed"))</f>
        <v/>
      </c>
      <c r="O1048" s="46"/>
      <c r="P1048" s="46" t="str">
        <f aca="false">IF(OR(B1048="",I1048&lt;&gt;"Save for a later revision"),"",IF(COUNTIF('Deferred edits'!$K$2:$K$201,A1048)&gt;0,"Yes","● Add to Deferred edits"))</f>
        <v/>
      </c>
    </row>
    <row r="1049" customFormat="false" ht="15" hidden="false" customHeight="false" outlineLevel="0" collapsed="false">
      <c r="A1049" s="46" t="s">
        <v>1344</v>
      </c>
      <c r="B1049" s="46"/>
      <c r="C1049" s="46"/>
      <c r="D1049" s="46"/>
      <c r="E1049" s="46"/>
      <c r="F1049" s="46"/>
      <c r="G1049" s="46"/>
      <c r="H1049" s="46"/>
      <c r="I1049" s="46"/>
      <c r="J1049" s="46"/>
      <c r="K1049" s="46"/>
      <c r="L1049" s="46"/>
      <c r="M1049" s="46" t="str">
        <f aca="false">IF(OR(B1049="",I1049=""),"",IFERROR(INDEX('Comment flow'!$C$40:$C$46,MATCH(I1049,'Comment flow'!$A$40:$A$46,0)),""))</f>
        <v/>
      </c>
      <c r="N1049" s="46" t="str">
        <f aca="false">IF(B1049="","",IF(OR(I1049="",I1049="Open: needs a decision",L1049=""),"Open","Closed"))</f>
        <v/>
      </c>
      <c r="O1049" s="46"/>
      <c r="P1049" s="46" t="str">
        <f aca="false">IF(OR(B1049="",I1049&lt;&gt;"Save for a later revision"),"",IF(COUNTIF('Deferred edits'!$K$2:$K$201,A1049)&gt;0,"Yes","● Add to Deferred edits"))</f>
        <v/>
      </c>
    </row>
    <row r="1050" customFormat="false" ht="15" hidden="false" customHeight="false" outlineLevel="0" collapsed="false">
      <c r="A1050" s="46" t="s">
        <v>1345</v>
      </c>
      <c r="B1050" s="46"/>
      <c r="C1050" s="46"/>
      <c r="D1050" s="46"/>
      <c r="E1050" s="46"/>
      <c r="F1050" s="46"/>
      <c r="G1050" s="46"/>
      <c r="H1050" s="46"/>
      <c r="I1050" s="46"/>
      <c r="J1050" s="46"/>
      <c r="K1050" s="46"/>
      <c r="L1050" s="46"/>
      <c r="M1050" s="46" t="str">
        <f aca="false">IF(OR(B1050="",I1050=""),"",IFERROR(INDEX('Comment flow'!$C$40:$C$46,MATCH(I1050,'Comment flow'!$A$40:$A$46,0)),""))</f>
        <v/>
      </c>
      <c r="N1050" s="46" t="str">
        <f aca="false">IF(B1050="","",IF(OR(I1050="",I1050="Open: needs a decision",L1050=""),"Open","Closed"))</f>
        <v/>
      </c>
      <c r="O1050" s="46"/>
      <c r="P1050" s="46" t="str">
        <f aca="false">IF(OR(B1050="",I1050&lt;&gt;"Save for a later revision"),"",IF(COUNTIF('Deferred edits'!$K$2:$K$201,A1050)&gt;0,"Yes","● Add to Deferred edits"))</f>
        <v/>
      </c>
    </row>
    <row r="1051" customFormat="false" ht="15" hidden="false" customHeight="false" outlineLevel="0" collapsed="false">
      <c r="A1051" s="46" t="s">
        <v>1346</v>
      </c>
      <c r="B1051" s="46"/>
      <c r="C1051" s="46"/>
      <c r="D1051" s="46"/>
      <c r="E1051" s="46"/>
      <c r="F1051" s="46"/>
      <c r="G1051" s="46"/>
      <c r="H1051" s="46"/>
      <c r="I1051" s="46"/>
      <c r="J1051" s="46"/>
      <c r="K1051" s="46"/>
      <c r="L1051" s="46"/>
      <c r="M1051" s="46" t="str">
        <f aca="false">IF(OR(B1051="",I1051=""),"",IFERROR(INDEX('Comment flow'!$C$40:$C$46,MATCH(I1051,'Comment flow'!$A$40:$A$46,0)),""))</f>
        <v/>
      </c>
      <c r="N1051" s="46" t="str">
        <f aca="false">IF(B1051="","",IF(OR(I1051="",I1051="Open: needs a decision",L1051=""),"Open","Closed"))</f>
        <v/>
      </c>
      <c r="O1051" s="46"/>
      <c r="P1051" s="46" t="str">
        <f aca="false">IF(OR(B1051="",I1051&lt;&gt;"Save for a later revision"),"",IF(COUNTIF('Deferred edits'!$K$2:$K$201,A1051)&gt;0,"Yes","● Add to Deferred edits"))</f>
        <v/>
      </c>
    </row>
    <row r="1052" customFormat="false" ht="15" hidden="false" customHeight="false" outlineLevel="0" collapsed="false">
      <c r="A1052" s="46" t="s">
        <v>1347</v>
      </c>
      <c r="B1052" s="46"/>
      <c r="C1052" s="46"/>
      <c r="D1052" s="46"/>
      <c r="E1052" s="46"/>
      <c r="F1052" s="46"/>
      <c r="G1052" s="46"/>
      <c r="H1052" s="46"/>
      <c r="I1052" s="46"/>
      <c r="J1052" s="46"/>
      <c r="K1052" s="46"/>
      <c r="L1052" s="46"/>
      <c r="M1052" s="46" t="str">
        <f aca="false">IF(OR(B1052="",I1052=""),"",IFERROR(INDEX('Comment flow'!$C$40:$C$46,MATCH(I1052,'Comment flow'!$A$40:$A$46,0)),""))</f>
        <v/>
      </c>
      <c r="N1052" s="46" t="str">
        <f aca="false">IF(B1052="","",IF(OR(I1052="",I1052="Open: needs a decision",L1052=""),"Open","Closed"))</f>
        <v/>
      </c>
      <c r="O1052" s="46"/>
      <c r="P1052" s="46" t="str">
        <f aca="false">IF(OR(B1052="",I1052&lt;&gt;"Save for a later revision"),"",IF(COUNTIF('Deferred edits'!$K$2:$K$201,A1052)&gt;0,"Yes","● Add to Deferred edits"))</f>
        <v/>
      </c>
    </row>
    <row r="1053" customFormat="false" ht="15" hidden="false" customHeight="false" outlineLevel="0" collapsed="false">
      <c r="A1053" s="46" t="s">
        <v>1348</v>
      </c>
      <c r="B1053" s="46"/>
      <c r="C1053" s="46"/>
      <c r="D1053" s="46"/>
      <c r="E1053" s="46"/>
      <c r="F1053" s="46"/>
      <c r="G1053" s="46"/>
      <c r="H1053" s="46"/>
      <c r="I1053" s="46"/>
      <c r="J1053" s="46"/>
      <c r="K1053" s="46"/>
      <c r="L1053" s="46"/>
      <c r="M1053" s="46" t="str">
        <f aca="false">IF(OR(B1053="",I1053=""),"",IFERROR(INDEX('Comment flow'!$C$40:$C$46,MATCH(I1053,'Comment flow'!$A$40:$A$46,0)),""))</f>
        <v/>
      </c>
      <c r="N1053" s="46" t="str">
        <f aca="false">IF(B1053="","",IF(OR(I1053="",I1053="Open: needs a decision",L1053=""),"Open","Closed"))</f>
        <v/>
      </c>
      <c r="O1053" s="46"/>
      <c r="P1053" s="46" t="str">
        <f aca="false">IF(OR(B1053="",I1053&lt;&gt;"Save for a later revision"),"",IF(COUNTIF('Deferred edits'!$K$2:$K$201,A1053)&gt;0,"Yes","● Add to Deferred edits"))</f>
        <v/>
      </c>
    </row>
    <row r="1054" customFormat="false" ht="15" hidden="false" customHeight="false" outlineLevel="0" collapsed="false">
      <c r="A1054" s="46" t="s">
        <v>1349</v>
      </c>
      <c r="B1054" s="46"/>
      <c r="C1054" s="46"/>
      <c r="D1054" s="46"/>
      <c r="E1054" s="46"/>
      <c r="F1054" s="46"/>
      <c r="G1054" s="46"/>
      <c r="H1054" s="46"/>
      <c r="I1054" s="46"/>
      <c r="J1054" s="46"/>
      <c r="K1054" s="46"/>
      <c r="L1054" s="46"/>
      <c r="M1054" s="46" t="str">
        <f aca="false">IF(OR(B1054="",I1054=""),"",IFERROR(INDEX('Comment flow'!$C$40:$C$46,MATCH(I1054,'Comment flow'!$A$40:$A$46,0)),""))</f>
        <v/>
      </c>
      <c r="N1054" s="46" t="str">
        <f aca="false">IF(B1054="","",IF(OR(I1054="",I1054="Open: needs a decision",L1054=""),"Open","Closed"))</f>
        <v/>
      </c>
      <c r="O1054" s="46"/>
      <c r="P1054" s="46" t="str">
        <f aca="false">IF(OR(B1054="",I1054&lt;&gt;"Save for a later revision"),"",IF(COUNTIF('Deferred edits'!$K$2:$K$201,A1054)&gt;0,"Yes","● Add to Deferred edits"))</f>
        <v/>
      </c>
    </row>
    <row r="1055" customFormat="false" ht="15" hidden="false" customHeight="false" outlineLevel="0" collapsed="false">
      <c r="A1055" s="46" t="s">
        <v>1350</v>
      </c>
      <c r="B1055" s="46"/>
      <c r="C1055" s="46"/>
      <c r="D1055" s="46"/>
      <c r="E1055" s="46"/>
      <c r="F1055" s="46"/>
      <c r="G1055" s="46"/>
      <c r="H1055" s="46"/>
      <c r="I1055" s="46"/>
      <c r="J1055" s="46"/>
      <c r="K1055" s="46"/>
      <c r="L1055" s="46"/>
      <c r="M1055" s="46" t="str">
        <f aca="false">IF(OR(B1055="",I1055=""),"",IFERROR(INDEX('Comment flow'!$C$40:$C$46,MATCH(I1055,'Comment flow'!$A$40:$A$46,0)),""))</f>
        <v/>
      </c>
      <c r="N1055" s="46" t="str">
        <f aca="false">IF(B1055="","",IF(OR(I1055="",I1055="Open: needs a decision",L1055=""),"Open","Closed"))</f>
        <v/>
      </c>
      <c r="O1055" s="46"/>
      <c r="P1055" s="46" t="str">
        <f aca="false">IF(OR(B1055="",I1055&lt;&gt;"Save for a later revision"),"",IF(COUNTIF('Deferred edits'!$K$2:$K$201,A1055)&gt;0,"Yes","● Add to Deferred edits"))</f>
        <v/>
      </c>
    </row>
    <row r="1056" customFormat="false" ht="15" hidden="false" customHeight="false" outlineLevel="0" collapsed="false">
      <c r="A1056" s="46" t="s">
        <v>1351</v>
      </c>
      <c r="B1056" s="46"/>
      <c r="C1056" s="46"/>
      <c r="D1056" s="46"/>
      <c r="E1056" s="46"/>
      <c r="F1056" s="46"/>
      <c r="G1056" s="46"/>
      <c r="H1056" s="46"/>
      <c r="I1056" s="46"/>
      <c r="J1056" s="46"/>
      <c r="K1056" s="46"/>
      <c r="L1056" s="46"/>
      <c r="M1056" s="46" t="str">
        <f aca="false">IF(OR(B1056="",I1056=""),"",IFERROR(INDEX('Comment flow'!$C$40:$C$46,MATCH(I1056,'Comment flow'!$A$40:$A$46,0)),""))</f>
        <v/>
      </c>
      <c r="N1056" s="46" t="str">
        <f aca="false">IF(B1056="","",IF(OR(I1056="",I1056="Open: needs a decision",L1056=""),"Open","Closed"))</f>
        <v/>
      </c>
      <c r="O1056" s="46"/>
      <c r="P1056" s="46" t="str">
        <f aca="false">IF(OR(B1056="",I1056&lt;&gt;"Save for a later revision"),"",IF(COUNTIF('Deferred edits'!$K$2:$K$201,A1056)&gt;0,"Yes","● Add to Deferred edits"))</f>
        <v/>
      </c>
    </row>
    <row r="1057" customFormat="false" ht="15" hidden="false" customHeight="false" outlineLevel="0" collapsed="false">
      <c r="A1057" s="46" t="s">
        <v>1352</v>
      </c>
      <c r="B1057" s="46"/>
      <c r="C1057" s="46"/>
      <c r="D1057" s="46"/>
      <c r="E1057" s="46"/>
      <c r="F1057" s="46"/>
      <c r="G1057" s="46"/>
      <c r="H1057" s="46"/>
      <c r="I1057" s="46"/>
      <c r="J1057" s="46"/>
      <c r="K1057" s="46"/>
      <c r="L1057" s="46"/>
      <c r="M1057" s="46" t="str">
        <f aca="false">IF(OR(B1057="",I1057=""),"",IFERROR(INDEX('Comment flow'!$C$40:$C$46,MATCH(I1057,'Comment flow'!$A$40:$A$46,0)),""))</f>
        <v/>
      </c>
      <c r="N1057" s="46" t="str">
        <f aca="false">IF(B1057="","",IF(OR(I1057="",I1057="Open: needs a decision",L1057=""),"Open","Closed"))</f>
        <v/>
      </c>
      <c r="O1057" s="46"/>
      <c r="P1057" s="46" t="str">
        <f aca="false">IF(OR(B1057="",I1057&lt;&gt;"Save for a later revision"),"",IF(COUNTIF('Deferred edits'!$K$2:$K$201,A1057)&gt;0,"Yes","● Add to Deferred edits"))</f>
        <v/>
      </c>
    </row>
    <row r="1058" customFormat="false" ht="15" hidden="false" customHeight="false" outlineLevel="0" collapsed="false">
      <c r="A1058" s="46" t="s">
        <v>1353</v>
      </c>
      <c r="B1058" s="46"/>
      <c r="C1058" s="46"/>
      <c r="D1058" s="46"/>
      <c r="E1058" s="46"/>
      <c r="F1058" s="46"/>
      <c r="G1058" s="46"/>
      <c r="H1058" s="46"/>
      <c r="I1058" s="46"/>
      <c r="J1058" s="46"/>
      <c r="K1058" s="46"/>
      <c r="L1058" s="46"/>
      <c r="M1058" s="46" t="str">
        <f aca="false">IF(OR(B1058="",I1058=""),"",IFERROR(INDEX('Comment flow'!$C$40:$C$46,MATCH(I1058,'Comment flow'!$A$40:$A$46,0)),""))</f>
        <v/>
      </c>
      <c r="N1058" s="46" t="str">
        <f aca="false">IF(B1058="","",IF(OR(I1058="",I1058="Open: needs a decision",L1058=""),"Open","Closed"))</f>
        <v/>
      </c>
      <c r="O1058" s="46"/>
      <c r="P1058" s="46" t="str">
        <f aca="false">IF(OR(B1058="",I1058&lt;&gt;"Save for a later revision"),"",IF(COUNTIF('Deferred edits'!$K$2:$K$201,A1058)&gt;0,"Yes","● Add to Deferred edits"))</f>
        <v/>
      </c>
    </row>
    <row r="1059" customFormat="false" ht="15" hidden="false" customHeight="false" outlineLevel="0" collapsed="false">
      <c r="A1059" s="46" t="s">
        <v>1354</v>
      </c>
      <c r="B1059" s="46"/>
      <c r="C1059" s="46"/>
      <c r="D1059" s="46"/>
      <c r="E1059" s="46"/>
      <c r="F1059" s="46"/>
      <c r="G1059" s="46"/>
      <c r="H1059" s="46"/>
      <c r="I1059" s="46"/>
      <c r="J1059" s="46"/>
      <c r="K1059" s="46"/>
      <c r="L1059" s="46"/>
      <c r="M1059" s="46" t="str">
        <f aca="false">IF(OR(B1059="",I1059=""),"",IFERROR(INDEX('Comment flow'!$C$40:$C$46,MATCH(I1059,'Comment flow'!$A$40:$A$46,0)),""))</f>
        <v/>
      </c>
      <c r="N1059" s="46" t="str">
        <f aca="false">IF(B1059="","",IF(OR(I1059="",I1059="Open: needs a decision",L1059=""),"Open","Closed"))</f>
        <v/>
      </c>
      <c r="O1059" s="46"/>
      <c r="P1059" s="46" t="str">
        <f aca="false">IF(OR(B1059="",I1059&lt;&gt;"Save for a later revision"),"",IF(COUNTIF('Deferred edits'!$K$2:$K$201,A1059)&gt;0,"Yes","● Add to Deferred edits"))</f>
        <v/>
      </c>
    </row>
    <row r="1060" customFormat="false" ht="15" hidden="false" customHeight="false" outlineLevel="0" collapsed="false">
      <c r="A1060" s="46" t="s">
        <v>1355</v>
      </c>
      <c r="B1060" s="46"/>
      <c r="C1060" s="46"/>
      <c r="D1060" s="46"/>
      <c r="E1060" s="46"/>
      <c r="F1060" s="46"/>
      <c r="G1060" s="46"/>
      <c r="H1060" s="46"/>
      <c r="I1060" s="46"/>
      <c r="J1060" s="46"/>
      <c r="K1060" s="46"/>
      <c r="L1060" s="46"/>
      <c r="M1060" s="46" t="str">
        <f aca="false">IF(OR(B1060="",I1060=""),"",IFERROR(INDEX('Comment flow'!$C$40:$C$46,MATCH(I1060,'Comment flow'!$A$40:$A$46,0)),""))</f>
        <v/>
      </c>
      <c r="N1060" s="46" t="str">
        <f aca="false">IF(B1060="","",IF(OR(I1060="",I1060="Open: needs a decision",L1060=""),"Open","Closed"))</f>
        <v/>
      </c>
      <c r="O1060" s="46"/>
      <c r="P1060" s="46" t="str">
        <f aca="false">IF(OR(B1060="",I1060&lt;&gt;"Save for a later revision"),"",IF(COUNTIF('Deferred edits'!$K$2:$K$201,A1060)&gt;0,"Yes","● Add to Deferred edits"))</f>
        <v/>
      </c>
    </row>
    <row r="1061" customFormat="false" ht="15" hidden="false" customHeight="false" outlineLevel="0" collapsed="false">
      <c r="A1061" s="46" t="s">
        <v>1356</v>
      </c>
      <c r="B1061" s="46"/>
      <c r="C1061" s="46"/>
      <c r="D1061" s="46"/>
      <c r="E1061" s="46"/>
      <c r="F1061" s="46"/>
      <c r="G1061" s="46"/>
      <c r="H1061" s="46"/>
      <c r="I1061" s="46"/>
      <c r="J1061" s="46"/>
      <c r="K1061" s="46"/>
      <c r="L1061" s="46"/>
      <c r="M1061" s="46" t="str">
        <f aca="false">IF(OR(B1061="",I1061=""),"",IFERROR(INDEX('Comment flow'!$C$40:$C$46,MATCH(I1061,'Comment flow'!$A$40:$A$46,0)),""))</f>
        <v/>
      </c>
      <c r="N1061" s="46" t="str">
        <f aca="false">IF(B1061="","",IF(OR(I1061="",I1061="Open: needs a decision",L1061=""),"Open","Closed"))</f>
        <v/>
      </c>
      <c r="O1061" s="46"/>
      <c r="P1061" s="46" t="str">
        <f aca="false">IF(OR(B1061="",I1061&lt;&gt;"Save for a later revision"),"",IF(COUNTIF('Deferred edits'!$K$2:$K$201,A1061)&gt;0,"Yes","● Add to Deferred edits"))</f>
        <v/>
      </c>
    </row>
    <row r="1062" customFormat="false" ht="15" hidden="false" customHeight="false" outlineLevel="0" collapsed="false">
      <c r="A1062" s="46" t="s">
        <v>1357</v>
      </c>
      <c r="B1062" s="46"/>
      <c r="C1062" s="46"/>
      <c r="D1062" s="46"/>
      <c r="E1062" s="46"/>
      <c r="F1062" s="46"/>
      <c r="G1062" s="46"/>
      <c r="H1062" s="46"/>
      <c r="I1062" s="46"/>
      <c r="J1062" s="46"/>
      <c r="K1062" s="46"/>
      <c r="L1062" s="46"/>
      <c r="M1062" s="46" t="str">
        <f aca="false">IF(OR(B1062="",I1062=""),"",IFERROR(INDEX('Comment flow'!$C$40:$C$46,MATCH(I1062,'Comment flow'!$A$40:$A$46,0)),""))</f>
        <v/>
      </c>
      <c r="N1062" s="46" t="str">
        <f aca="false">IF(B1062="","",IF(OR(I1062="",I1062="Open: needs a decision",L1062=""),"Open","Closed"))</f>
        <v/>
      </c>
      <c r="O1062" s="46"/>
      <c r="P1062" s="46" t="str">
        <f aca="false">IF(OR(B1062="",I1062&lt;&gt;"Save for a later revision"),"",IF(COUNTIF('Deferred edits'!$K$2:$K$201,A1062)&gt;0,"Yes","● Add to Deferred edits"))</f>
        <v/>
      </c>
    </row>
    <row r="1063" customFormat="false" ht="15" hidden="false" customHeight="false" outlineLevel="0" collapsed="false">
      <c r="A1063" s="46" t="s">
        <v>1358</v>
      </c>
      <c r="B1063" s="46"/>
      <c r="C1063" s="46"/>
      <c r="D1063" s="46"/>
      <c r="E1063" s="46"/>
      <c r="F1063" s="46"/>
      <c r="G1063" s="46"/>
      <c r="H1063" s="46"/>
      <c r="I1063" s="46"/>
      <c r="J1063" s="46"/>
      <c r="K1063" s="46"/>
      <c r="L1063" s="46"/>
      <c r="M1063" s="46" t="str">
        <f aca="false">IF(OR(B1063="",I1063=""),"",IFERROR(INDEX('Comment flow'!$C$40:$C$46,MATCH(I1063,'Comment flow'!$A$40:$A$46,0)),""))</f>
        <v/>
      </c>
      <c r="N1063" s="46" t="str">
        <f aca="false">IF(B1063="","",IF(OR(I1063="",I1063="Open: needs a decision",L1063=""),"Open","Closed"))</f>
        <v/>
      </c>
      <c r="O1063" s="46"/>
      <c r="P1063" s="46" t="str">
        <f aca="false">IF(OR(B1063="",I1063&lt;&gt;"Save for a later revision"),"",IF(COUNTIF('Deferred edits'!$K$2:$K$201,A1063)&gt;0,"Yes","● Add to Deferred edits"))</f>
        <v/>
      </c>
    </row>
    <row r="1064" customFormat="false" ht="15" hidden="false" customHeight="false" outlineLevel="0" collapsed="false">
      <c r="A1064" s="46" t="s">
        <v>1359</v>
      </c>
      <c r="B1064" s="46"/>
      <c r="C1064" s="46"/>
      <c r="D1064" s="46"/>
      <c r="E1064" s="46"/>
      <c r="F1064" s="46"/>
      <c r="G1064" s="46"/>
      <c r="H1064" s="46"/>
      <c r="I1064" s="46"/>
      <c r="J1064" s="46"/>
      <c r="K1064" s="46"/>
      <c r="L1064" s="46"/>
      <c r="M1064" s="46" t="str">
        <f aca="false">IF(OR(B1064="",I1064=""),"",IFERROR(INDEX('Comment flow'!$C$40:$C$46,MATCH(I1064,'Comment flow'!$A$40:$A$46,0)),""))</f>
        <v/>
      </c>
      <c r="N1064" s="46" t="str">
        <f aca="false">IF(B1064="","",IF(OR(I1064="",I1064="Open: needs a decision",L1064=""),"Open","Closed"))</f>
        <v/>
      </c>
      <c r="O1064" s="46"/>
      <c r="P1064" s="46" t="str">
        <f aca="false">IF(OR(B1064="",I1064&lt;&gt;"Save for a later revision"),"",IF(COUNTIF('Deferred edits'!$K$2:$K$201,A1064)&gt;0,"Yes","● Add to Deferred edits"))</f>
        <v/>
      </c>
    </row>
    <row r="1065" customFormat="false" ht="15" hidden="false" customHeight="false" outlineLevel="0" collapsed="false">
      <c r="A1065" s="46" t="s">
        <v>1360</v>
      </c>
      <c r="B1065" s="46"/>
      <c r="C1065" s="46"/>
      <c r="D1065" s="46"/>
      <c r="E1065" s="46"/>
      <c r="F1065" s="46"/>
      <c r="G1065" s="46"/>
      <c r="H1065" s="46"/>
      <c r="I1065" s="46"/>
      <c r="J1065" s="46"/>
      <c r="K1065" s="46"/>
      <c r="L1065" s="46"/>
      <c r="M1065" s="46" t="str">
        <f aca="false">IF(OR(B1065="",I1065=""),"",IFERROR(INDEX('Comment flow'!$C$40:$C$46,MATCH(I1065,'Comment flow'!$A$40:$A$46,0)),""))</f>
        <v/>
      </c>
      <c r="N1065" s="46" t="str">
        <f aca="false">IF(B1065="","",IF(OR(I1065="",I1065="Open: needs a decision",L1065=""),"Open","Closed"))</f>
        <v/>
      </c>
      <c r="O1065" s="46"/>
      <c r="P1065" s="46" t="str">
        <f aca="false">IF(OR(B1065="",I1065&lt;&gt;"Save for a later revision"),"",IF(COUNTIF('Deferred edits'!$K$2:$K$201,A1065)&gt;0,"Yes","● Add to Deferred edits"))</f>
        <v/>
      </c>
    </row>
    <row r="1066" customFormat="false" ht="15" hidden="false" customHeight="false" outlineLevel="0" collapsed="false">
      <c r="A1066" s="46" t="s">
        <v>1361</v>
      </c>
      <c r="B1066" s="46"/>
      <c r="C1066" s="46"/>
      <c r="D1066" s="46"/>
      <c r="E1066" s="46"/>
      <c r="F1066" s="46"/>
      <c r="G1066" s="46"/>
      <c r="H1066" s="46"/>
      <c r="I1066" s="46"/>
      <c r="J1066" s="46"/>
      <c r="K1066" s="46"/>
      <c r="L1066" s="46"/>
      <c r="M1066" s="46" t="str">
        <f aca="false">IF(OR(B1066="",I1066=""),"",IFERROR(INDEX('Comment flow'!$C$40:$C$46,MATCH(I1066,'Comment flow'!$A$40:$A$46,0)),""))</f>
        <v/>
      </c>
      <c r="N1066" s="46" t="str">
        <f aca="false">IF(B1066="","",IF(OR(I1066="",I1066="Open: needs a decision",L1066=""),"Open","Closed"))</f>
        <v/>
      </c>
      <c r="O1066" s="46"/>
      <c r="P1066" s="46" t="str">
        <f aca="false">IF(OR(B1066="",I1066&lt;&gt;"Save for a later revision"),"",IF(COUNTIF('Deferred edits'!$K$2:$K$201,A1066)&gt;0,"Yes","● Add to Deferred edits"))</f>
        <v/>
      </c>
    </row>
    <row r="1067" customFormat="false" ht="15" hidden="false" customHeight="false" outlineLevel="0" collapsed="false">
      <c r="A1067" s="46" t="s">
        <v>1362</v>
      </c>
      <c r="B1067" s="46"/>
      <c r="C1067" s="46"/>
      <c r="D1067" s="46"/>
      <c r="E1067" s="46"/>
      <c r="F1067" s="46"/>
      <c r="G1067" s="46"/>
      <c r="H1067" s="46"/>
      <c r="I1067" s="46"/>
      <c r="J1067" s="46"/>
      <c r="K1067" s="46"/>
      <c r="L1067" s="46"/>
      <c r="M1067" s="46" t="str">
        <f aca="false">IF(OR(B1067="",I1067=""),"",IFERROR(INDEX('Comment flow'!$C$40:$C$46,MATCH(I1067,'Comment flow'!$A$40:$A$46,0)),""))</f>
        <v/>
      </c>
      <c r="N1067" s="46" t="str">
        <f aca="false">IF(B1067="","",IF(OR(I1067="",I1067="Open: needs a decision",L1067=""),"Open","Closed"))</f>
        <v/>
      </c>
      <c r="O1067" s="46"/>
      <c r="P1067" s="46" t="str">
        <f aca="false">IF(OR(B1067="",I1067&lt;&gt;"Save for a later revision"),"",IF(COUNTIF('Deferred edits'!$K$2:$K$201,A1067)&gt;0,"Yes","● Add to Deferred edits"))</f>
        <v/>
      </c>
    </row>
    <row r="1068" customFormat="false" ht="15" hidden="false" customHeight="false" outlineLevel="0" collapsed="false">
      <c r="A1068" s="46" t="s">
        <v>1363</v>
      </c>
      <c r="B1068" s="46"/>
      <c r="C1068" s="46"/>
      <c r="D1068" s="46"/>
      <c r="E1068" s="46"/>
      <c r="F1068" s="46"/>
      <c r="G1068" s="46"/>
      <c r="H1068" s="46"/>
      <c r="I1068" s="46"/>
      <c r="J1068" s="46"/>
      <c r="K1068" s="46"/>
      <c r="L1068" s="46"/>
      <c r="M1068" s="46" t="str">
        <f aca="false">IF(OR(B1068="",I1068=""),"",IFERROR(INDEX('Comment flow'!$C$40:$C$46,MATCH(I1068,'Comment flow'!$A$40:$A$46,0)),""))</f>
        <v/>
      </c>
      <c r="N1068" s="46" t="str">
        <f aca="false">IF(B1068="","",IF(OR(I1068="",I1068="Open: needs a decision",L1068=""),"Open","Closed"))</f>
        <v/>
      </c>
      <c r="O1068" s="46"/>
      <c r="P1068" s="46" t="str">
        <f aca="false">IF(OR(B1068="",I1068&lt;&gt;"Save for a later revision"),"",IF(COUNTIF('Deferred edits'!$K$2:$K$201,A1068)&gt;0,"Yes","● Add to Deferred edits"))</f>
        <v/>
      </c>
    </row>
    <row r="1069" customFormat="false" ht="15" hidden="false" customHeight="false" outlineLevel="0" collapsed="false">
      <c r="A1069" s="46" t="s">
        <v>1364</v>
      </c>
      <c r="B1069" s="46"/>
      <c r="C1069" s="46"/>
      <c r="D1069" s="46"/>
      <c r="E1069" s="46"/>
      <c r="F1069" s="46"/>
      <c r="G1069" s="46"/>
      <c r="H1069" s="46"/>
      <c r="I1069" s="46"/>
      <c r="J1069" s="46"/>
      <c r="K1069" s="46"/>
      <c r="L1069" s="46"/>
      <c r="M1069" s="46" t="str">
        <f aca="false">IF(OR(B1069="",I1069=""),"",IFERROR(INDEX('Comment flow'!$C$40:$C$46,MATCH(I1069,'Comment flow'!$A$40:$A$46,0)),""))</f>
        <v/>
      </c>
      <c r="N1069" s="46" t="str">
        <f aca="false">IF(B1069="","",IF(OR(I1069="",I1069="Open: needs a decision",L1069=""),"Open","Closed"))</f>
        <v/>
      </c>
      <c r="O1069" s="46"/>
      <c r="P1069" s="46" t="str">
        <f aca="false">IF(OR(B1069="",I1069&lt;&gt;"Save for a later revision"),"",IF(COUNTIF('Deferred edits'!$K$2:$K$201,A1069)&gt;0,"Yes","● Add to Deferred edits"))</f>
        <v/>
      </c>
    </row>
    <row r="1070" customFormat="false" ht="15" hidden="false" customHeight="false" outlineLevel="0" collapsed="false">
      <c r="A1070" s="46" t="s">
        <v>1365</v>
      </c>
      <c r="B1070" s="46"/>
      <c r="C1070" s="46"/>
      <c r="D1070" s="46"/>
      <c r="E1070" s="46"/>
      <c r="F1070" s="46"/>
      <c r="G1070" s="46"/>
      <c r="H1070" s="46"/>
      <c r="I1070" s="46"/>
      <c r="J1070" s="46"/>
      <c r="K1070" s="46"/>
      <c r="L1070" s="46"/>
      <c r="M1070" s="46" t="str">
        <f aca="false">IF(OR(B1070="",I1070=""),"",IFERROR(INDEX('Comment flow'!$C$40:$C$46,MATCH(I1070,'Comment flow'!$A$40:$A$46,0)),""))</f>
        <v/>
      </c>
      <c r="N1070" s="46" t="str">
        <f aca="false">IF(B1070="","",IF(OR(I1070="",I1070="Open: needs a decision",L1070=""),"Open","Closed"))</f>
        <v/>
      </c>
      <c r="O1070" s="46"/>
      <c r="P1070" s="46" t="str">
        <f aca="false">IF(OR(B1070="",I1070&lt;&gt;"Save for a later revision"),"",IF(COUNTIF('Deferred edits'!$K$2:$K$201,A1070)&gt;0,"Yes","● Add to Deferred edits"))</f>
        <v/>
      </c>
    </row>
    <row r="1071" customFormat="false" ht="15" hidden="false" customHeight="false" outlineLevel="0" collapsed="false">
      <c r="A1071" s="46" t="s">
        <v>1366</v>
      </c>
      <c r="B1071" s="46"/>
      <c r="C1071" s="46"/>
      <c r="D1071" s="46"/>
      <c r="E1071" s="46"/>
      <c r="F1071" s="46"/>
      <c r="G1071" s="46"/>
      <c r="H1071" s="46"/>
      <c r="I1071" s="46"/>
      <c r="J1071" s="46"/>
      <c r="K1071" s="46"/>
      <c r="L1071" s="46"/>
      <c r="M1071" s="46" t="str">
        <f aca="false">IF(OR(B1071="",I1071=""),"",IFERROR(INDEX('Comment flow'!$C$40:$C$46,MATCH(I1071,'Comment flow'!$A$40:$A$46,0)),""))</f>
        <v/>
      </c>
      <c r="N1071" s="46" t="str">
        <f aca="false">IF(B1071="","",IF(OR(I1071="",I1071="Open: needs a decision",L1071=""),"Open","Closed"))</f>
        <v/>
      </c>
      <c r="O1071" s="46"/>
      <c r="P1071" s="46" t="str">
        <f aca="false">IF(OR(B1071="",I1071&lt;&gt;"Save for a later revision"),"",IF(COUNTIF('Deferred edits'!$K$2:$K$201,A1071)&gt;0,"Yes","● Add to Deferred edits"))</f>
        <v/>
      </c>
    </row>
    <row r="1072" customFormat="false" ht="15" hidden="false" customHeight="false" outlineLevel="0" collapsed="false">
      <c r="A1072" s="46" t="s">
        <v>1367</v>
      </c>
      <c r="B1072" s="46"/>
      <c r="C1072" s="46"/>
      <c r="D1072" s="46"/>
      <c r="E1072" s="46"/>
      <c r="F1072" s="46"/>
      <c r="G1072" s="46"/>
      <c r="H1072" s="46"/>
      <c r="I1072" s="46"/>
      <c r="J1072" s="46"/>
      <c r="K1072" s="46"/>
      <c r="L1072" s="46"/>
      <c r="M1072" s="46" t="str">
        <f aca="false">IF(OR(B1072="",I1072=""),"",IFERROR(INDEX('Comment flow'!$C$40:$C$46,MATCH(I1072,'Comment flow'!$A$40:$A$46,0)),""))</f>
        <v/>
      </c>
      <c r="N1072" s="46" t="str">
        <f aca="false">IF(B1072="","",IF(OR(I1072="",I1072="Open: needs a decision",L1072=""),"Open","Closed"))</f>
        <v/>
      </c>
      <c r="O1072" s="46"/>
      <c r="P1072" s="46" t="str">
        <f aca="false">IF(OR(B1072="",I1072&lt;&gt;"Save for a later revision"),"",IF(COUNTIF('Deferred edits'!$K$2:$K$201,A1072)&gt;0,"Yes","● Add to Deferred edits"))</f>
        <v/>
      </c>
    </row>
    <row r="1073" customFormat="false" ht="15" hidden="false" customHeight="false" outlineLevel="0" collapsed="false">
      <c r="A1073" s="46" t="s">
        <v>1368</v>
      </c>
      <c r="B1073" s="46"/>
      <c r="C1073" s="46"/>
      <c r="D1073" s="46"/>
      <c r="E1073" s="46"/>
      <c r="F1073" s="46"/>
      <c r="G1073" s="46"/>
      <c r="H1073" s="46"/>
      <c r="I1073" s="46"/>
      <c r="J1073" s="46"/>
      <c r="K1073" s="46"/>
      <c r="L1073" s="46"/>
      <c r="M1073" s="46" t="str">
        <f aca="false">IF(OR(B1073="",I1073=""),"",IFERROR(INDEX('Comment flow'!$C$40:$C$46,MATCH(I1073,'Comment flow'!$A$40:$A$46,0)),""))</f>
        <v/>
      </c>
      <c r="N1073" s="46" t="str">
        <f aca="false">IF(B1073="","",IF(OR(I1073="",I1073="Open: needs a decision",L1073=""),"Open","Closed"))</f>
        <v/>
      </c>
      <c r="O1073" s="46"/>
      <c r="P1073" s="46" t="str">
        <f aca="false">IF(OR(B1073="",I1073&lt;&gt;"Save for a later revision"),"",IF(COUNTIF('Deferred edits'!$K$2:$K$201,A1073)&gt;0,"Yes","● Add to Deferred edits"))</f>
        <v/>
      </c>
    </row>
    <row r="1074" customFormat="false" ht="15" hidden="false" customHeight="false" outlineLevel="0" collapsed="false">
      <c r="A1074" s="46" t="s">
        <v>1369</v>
      </c>
      <c r="B1074" s="46"/>
      <c r="C1074" s="46"/>
      <c r="D1074" s="46"/>
      <c r="E1074" s="46"/>
      <c r="F1074" s="46"/>
      <c r="G1074" s="46"/>
      <c r="H1074" s="46"/>
      <c r="I1074" s="46"/>
      <c r="J1074" s="46"/>
      <c r="K1074" s="46"/>
      <c r="L1074" s="46"/>
      <c r="M1074" s="46" t="str">
        <f aca="false">IF(OR(B1074="",I1074=""),"",IFERROR(INDEX('Comment flow'!$C$40:$C$46,MATCH(I1074,'Comment flow'!$A$40:$A$46,0)),""))</f>
        <v/>
      </c>
      <c r="N1074" s="46" t="str">
        <f aca="false">IF(B1074="","",IF(OR(I1074="",I1074="Open: needs a decision",L1074=""),"Open","Closed"))</f>
        <v/>
      </c>
      <c r="O1074" s="46"/>
      <c r="P1074" s="46" t="str">
        <f aca="false">IF(OR(B1074="",I1074&lt;&gt;"Save for a later revision"),"",IF(COUNTIF('Deferred edits'!$K$2:$K$201,A1074)&gt;0,"Yes","● Add to Deferred edits"))</f>
        <v/>
      </c>
    </row>
    <row r="1075" customFormat="false" ht="15" hidden="false" customHeight="false" outlineLevel="0" collapsed="false">
      <c r="A1075" s="46" t="s">
        <v>1370</v>
      </c>
      <c r="B1075" s="46"/>
      <c r="C1075" s="46"/>
      <c r="D1075" s="46"/>
      <c r="E1075" s="46"/>
      <c r="F1075" s="46"/>
      <c r="G1075" s="46"/>
      <c r="H1075" s="46"/>
      <c r="I1075" s="46"/>
      <c r="J1075" s="46"/>
      <c r="K1075" s="46"/>
      <c r="L1075" s="46"/>
      <c r="M1075" s="46" t="str">
        <f aca="false">IF(OR(B1075="",I1075=""),"",IFERROR(INDEX('Comment flow'!$C$40:$C$46,MATCH(I1075,'Comment flow'!$A$40:$A$46,0)),""))</f>
        <v/>
      </c>
      <c r="N1075" s="46" t="str">
        <f aca="false">IF(B1075="","",IF(OR(I1075="",I1075="Open: needs a decision",L1075=""),"Open","Closed"))</f>
        <v/>
      </c>
      <c r="O1075" s="46"/>
      <c r="P1075" s="46" t="str">
        <f aca="false">IF(OR(B1075="",I1075&lt;&gt;"Save for a later revision"),"",IF(COUNTIF('Deferred edits'!$K$2:$K$201,A1075)&gt;0,"Yes","● Add to Deferred edits"))</f>
        <v/>
      </c>
    </row>
    <row r="1076" customFormat="false" ht="15" hidden="false" customHeight="false" outlineLevel="0" collapsed="false">
      <c r="A1076" s="46" t="s">
        <v>1371</v>
      </c>
      <c r="B1076" s="46"/>
      <c r="C1076" s="46"/>
      <c r="D1076" s="46"/>
      <c r="E1076" s="46"/>
      <c r="F1076" s="46"/>
      <c r="G1076" s="46"/>
      <c r="H1076" s="46"/>
      <c r="I1076" s="46"/>
      <c r="J1076" s="46"/>
      <c r="K1076" s="46"/>
      <c r="L1076" s="46"/>
      <c r="M1076" s="46" t="str">
        <f aca="false">IF(OR(B1076="",I1076=""),"",IFERROR(INDEX('Comment flow'!$C$40:$C$46,MATCH(I1076,'Comment flow'!$A$40:$A$46,0)),""))</f>
        <v/>
      </c>
      <c r="N1076" s="46" t="str">
        <f aca="false">IF(B1076="","",IF(OR(I1076="",I1076="Open: needs a decision",L1076=""),"Open","Closed"))</f>
        <v/>
      </c>
      <c r="O1076" s="46"/>
      <c r="P1076" s="46" t="str">
        <f aca="false">IF(OR(B1076="",I1076&lt;&gt;"Save for a later revision"),"",IF(COUNTIF('Deferred edits'!$K$2:$K$201,A1076)&gt;0,"Yes","● Add to Deferred edits"))</f>
        <v/>
      </c>
    </row>
    <row r="1077" customFormat="false" ht="15" hidden="false" customHeight="false" outlineLevel="0" collapsed="false">
      <c r="A1077" s="46" t="s">
        <v>1372</v>
      </c>
      <c r="B1077" s="46"/>
      <c r="C1077" s="46"/>
      <c r="D1077" s="46"/>
      <c r="E1077" s="46"/>
      <c r="F1077" s="46"/>
      <c r="G1077" s="46"/>
      <c r="H1077" s="46"/>
      <c r="I1077" s="46"/>
      <c r="J1077" s="46"/>
      <c r="K1077" s="46"/>
      <c r="L1077" s="46"/>
      <c r="M1077" s="46" t="str">
        <f aca="false">IF(OR(B1077="",I1077=""),"",IFERROR(INDEX('Comment flow'!$C$40:$C$46,MATCH(I1077,'Comment flow'!$A$40:$A$46,0)),""))</f>
        <v/>
      </c>
      <c r="N1077" s="46" t="str">
        <f aca="false">IF(B1077="","",IF(OR(I1077="",I1077="Open: needs a decision",L1077=""),"Open","Closed"))</f>
        <v/>
      </c>
      <c r="O1077" s="46"/>
      <c r="P1077" s="46" t="str">
        <f aca="false">IF(OR(B1077="",I1077&lt;&gt;"Save for a later revision"),"",IF(COUNTIF('Deferred edits'!$K$2:$K$201,A1077)&gt;0,"Yes","● Add to Deferred edits"))</f>
        <v/>
      </c>
    </row>
    <row r="1078" customFormat="false" ht="15" hidden="false" customHeight="false" outlineLevel="0" collapsed="false">
      <c r="A1078" s="46" t="s">
        <v>1373</v>
      </c>
      <c r="B1078" s="46"/>
      <c r="C1078" s="46"/>
      <c r="D1078" s="46"/>
      <c r="E1078" s="46"/>
      <c r="F1078" s="46"/>
      <c r="G1078" s="46"/>
      <c r="H1078" s="46"/>
      <c r="I1078" s="46"/>
      <c r="J1078" s="46"/>
      <c r="K1078" s="46"/>
      <c r="L1078" s="46"/>
      <c r="M1078" s="46" t="str">
        <f aca="false">IF(OR(B1078="",I1078=""),"",IFERROR(INDEX('Comment flow'!$C$40:$C$46,MATCH(I1078,'Comment flow'!$A$40:$A$46,0)),""))</f>
        <v/>
      </c>
      <c r="N1078" s="46" t="str">
        <f aca="false">IF(B1078="","",IF(OR(I1078="",I1078="Open: needs a decision",L1078=""),"Open","Closed"))</f>
        <v/>
      </c>
      <c r="O1078" s="46"/>
      <c r="P1078" s="46" t="str">
        <f aca="false">IF(OR(B1078="",I1078&lt;&gt;"Save for a later revision"),"",IF(COUNTIF('Deferred edits'!$K$2:$K$201,A1078)&gt;0,"Yes","● Add to Deferred edits"))</f>
        <v/>
      </c>
    </row>
    <row r="1079" customFormat="false" ht="15" hidden="false" customHeight="false" outlineLevel="0" collapsed="false">
      <c r="A1079" s="46" t="s">
        <v>1374</v>
      </c>
      <c r="B1079" s="46"/>
      <c r="C1079" s="46"/>
      <c r="D1079" s="46"/>
      <c r="E1079" s="46"/>
      <c r="F1079" s="46"/>
      <c r="G1079" s="46"/>
      <c r="H1079" s="46"/>
      <c r="I1079" s="46"/>
      <c r="J1079" s="46"/>
      <c r="K1079" s="46"/>
      <c r="L1079" s="46"/>
      <c r="M1079" s="46" t="str">
        <f aca="false">IF(OR(B1079="",I1079=""),"",IFERROR(INDEX('Comment flow'!$C$40:$C$46,MATCH(I1079,'Comment flow'!$A$40:$A$46,0)),""))</f>
        <v/>
      </c>
      <c r="N1079" s="46" t="str">
        <f aca="false">IF(B1079="","",IF(OR(I1079="",I1079="Open: needs a decision",L1079=""),"Open","Closed"))</f>
        <v/>
      </c>
      <c r="O1079" s="46"/>
      <c r="P1079" s="46" t="str">
        <f aca="false">IF(OR(B1079="",I1079&lt;&gt;"Save for a later revision"),"",IF(COUNTIF('Deferred edits'!$K$2:$K$201,A1079)&gt;0,"Yes","● Add to Deferred edits"))</f>
        <v/>
      </c>
    </row>
    <row r="1080" customFormat="false" ht="15" hidden="false" customHeight="false" outlineLevel="0" collapsed="false">
      <c r="A1080" s="46" t="s">
        <v>1375</v>
      </c>
      <c r="B1080" s="46"/>
      <c r="C1080" s="46"/>
      <c r="D1080" s="46"/>
      <c r="E1080" s="46"/>
      <c r="F1080" s="46"/>
      <c r="G1080" s="46"/>
      <c r="H1080" s="46"/>
      <c r="I1080" s="46"/>
      <c r="J1080" s="46"/>
      <c r="K1080" s="46"/>
      <c r="L1080" s="46"/>
      <c r="M1080" s="46" t="str">
        <f aca="false">IF(OR(B1080="",I1080=""),"",IFERROR(INDEX('Comment flow'!$C$40:$C$46,MATCH(I1080,'Comment flow'!$A$40:$A$46,0)),""))</f>
        <v/>
      </c>
      <c r="N1080" s="46" t="str">
        <f aca="false">IF(B1080="","",IF(OR(I1080="",I1080="Open: needs a decision",L1080=""),"Open","Closed"))</f>
        <v/>
      </c>
      <c r="O1080" s="46"/>
      <c r="P1080" s="46" t="str">
        <f aca="false">IF(OR(B1080="",I1080&lt;&gt;"Save for a later revision"),"",IF(COUNTIF('Deferred edits'!$K$2:$K$201,A1080)&gt;0,"Yes","● Add to Deferred edits"))</f>
        <v/>
      </c>
    </row>
    <row r="1081" customFormat="false" ht="15" hidden="false" customHeight="false" outlineLevel="0" collapsed="false">
      <c r="A1081" s="46" t="s">
        <v>1376</v>
      </c>
      <c r="B1081" s="46"/>
      <c r="C1081" s="46"/>
      <c r="D1081" s="46"/>
      <c r="E1081" s="46"/>
      <c r="F1081" s="46"/>
      <c r="G1081" s="46"/>
      <c r="H1081" s="46"/>
      <c r="I1081" s="46"/>
      <c r="J1081" s="46"/>
      <c r="K1081" s="46"/>
      <c r="L1081" s="46"/>
      <c r="M1081" s="46" t="str">
        <f aca="false">IF(OR(B1081="",I1081=""),"",IFERROR(INDEX('Comment flow'!$C$40:$C$46,MATCH(I1081,'Comment flow'!$A$40:$A$46,0)),""))</f>
        <v/>
      </c>
      <c r="N1081" s="46" t="str">
        <f aca="false">IF(B1081="","",IF(OR(I1081="",I1081="Open: needs a decision",L1081=""),"Open","Closed"))</f>
        <v/>
      </c>
      <c r="O1081" s="46"/>
      <c r="P1081" s="46" t="str">
        <f aca="false">IF(OR(B1081="",I1081&lt;&gt;"Save for a later revision"),"",IF(COUNTIF('Deferred edits'!$K$2:$K$201,A1081)&gt;0,"Yes","● Add to Deferred edits"))</f>
        <v/>
      </c>
    </row>
    <row r="1082" customFormat="false" ht="15" hidden="false" customHeight="false" outlineLevel="0" collapsed="false">
      <c r="A1082" s="46" t="s">
        <v>1377</v>
      </c>
      <c r="B1082" s="46"/>
      <c r="C1082" s="46"/>
      <c r="D1082" s="46"/>
      <c r="E1082" s="46"/>
      <c r="F1082" s="46"/>
      <c r="G1082" s="46"/>
      <c r="H1082" s="46"/>
      <c r="I1082" s="46"/>
      <c r="J1082" s="46"/>
      <c r="K1082" s="46"/>
      <c r="L1082" s="46"/>
      <c r="M1082" s="46" t="str">
        <f aca="false">IF(OR(B1082="",I1082=""),"",IFERROR(INDEX('Comment flow'!$C$40:$C$46,MATCH(I1082,'Comment flow'!$A$40:$A$46,0)),""))</f>
        <v/>
      </c>
      <c r="N1082" s="46" t="str">
        <f aca="false">IF(B1082="","",IF(OR(I1082="",I1082="Open: needs a decision",L1082=""),"Open","Closed"))</f>
        <v/>
      </c>
      <c r="O1082" s="46"/>
      <c r="P1082" s="46" t="str">
        <f aca="false">IF(OR(B1082="",I1082&lt;&gt;"Save for a later revision"),"",IF(COUNTIF('Deferred edits'!$K$2:$K$201,A1082)&gt;0,"Yes","● Add to Deferred edits"))</f>
        <v/>
      </c>
    </row>
    <row r="1083" customFormat="false" ht="15" hidden="false" customHeight="false" outlineLevel="0" collapsed="false">
      <c r="A1083" s="46" t="s">
        <v>1378</v>
      </c>
      <c r="B1083" s="46"/>
      <c r="C1083" s="46"/>
      <c r="D1083" s="46"/>
      <c r="E1083" s="46"/>
      <c r="F1083" s="46"/>
      <c r="G1083" s="46"/>
      <c r="H1083" s="46"/>
      <c r="I1083" s="46"/>
      <c r="J1083" s="46"/>
      <c r="K1083" s="46"/>
      <c r="L1083" s="46"/>
      <c r="M1083" s="46" t="str">
        <f aca="false">IF(OR(B1083="",I1083=""),"",IFERROR(INDEX('Comment flow'!$C$40:$C$46,MATCH(I1083,'Comment flow'!$A$40:$A$46,0)),""))</f>
        <v/>
      </c>
      <c r="N1083" s="46" t="str">
        <f aca="false">IF(B1083="","",IF(OR(I1083="",I1083="Open: needs a decision",L1083=""),"Open","Closed"))</f>
        <v/>
      </c>
      <c r="O1083" s="46"/>
      <c r="P1083" s="46" t="str">
        <f aca="false">IF(OR(B1083="",I1083&lt;&gt;"Save for a later revision"),"",IF(COUNTIF('Deferred edits'!$K$2:$K$201,A1083)&gt;0,"Yes","● Add to Deferred edits"))</f>
        <v/>
      </c>
    </row>
    <row r="1084" customFormat="false" ht="15" hidden="false" customHeight="false" outlineLevel="0" collapsed="false">
      <c r="A1084" s="46" t="s">
        <v>1379</v>
      </c>
      <c r="B1084" s="46"/>
      <c r="C1084" s="46"/>
      <c r="D1084" s="46"/>
      <c r="E1084" s="46"/>
      <c r="F1084" s="46"/>
      <c r="G1084" s="46"/>
      <c r="H1084" s="46"/>
      <c r="I1084" s="46"/>
      <c r="J1084" s="46"/>
      <c r="K1084" s="46"/>
      <c r="L1084" s="46"/>
      <c r="M1084" s="46" t="str">
        <f aca="false">IF(OR(B1084="",I1084=""),"",IFERROR(INDEX('Comment flow'!$C$40:$C$46,MATCH(I1084,'Comment flow'!$A$40:$A$46,0)),""))</f>
        <v/>
      </c>
      <c r="N1084" s="46" t="str">
        <f aca="false">IF(B1084="","",IF(OR(I1084="",I1084="Open: needs a decision",L1084=""),"Open","Closed"))</f>
        <v/>
      </c>
      <c r="O1084" s="46"/>
      <c r="P1084" s="46" t="str">
        <f aca="false">IF(OR(B1084="",I1084&lt;&gt;"Save for a later revision"),"",IF(COUNTIF('Deferred edits'!$K$2:$K$201,A1084)&gt;0,"Yes","● Add to Deferred edits"))</f>
        <v/>
      </c>
    </row>
    <row r="1085" customFormat="false" ht="15" hidden="false" customHeight="false" outlineLevel="0" collapsed="false">
      <c r="A1085" s="46" t="s">
        <v>1380</v>
      </c>
      <c r="B1085" s="46"/>
      <c r="C1085" s="46"/>
      <c r="D1085" s="46"/>
      <c r="E1085" s="46"/>
      <c r="F1085" s="46"/>
      <c r="G1085" s="46"/>
      <c r="H1085" s="46"/>
      <c r="I1085" s="46"/>
      <c r="J1085" s="46"/>
      <c r="K1085" s="46"/>
      <c r="L1085" s="46"/>
      <c r="M1085" s="46" t="str">
        <f aca="false">IF(OR(B1085="",I1085=""),"",IFERROR(INDEX('Comment flow'!$C$40:$C$46,MATCH(I1085,'Comment flow'!$A$40:$A$46,0)),""))</f>
        <v/>
      </c>
      <c r="N1085" s="46" t="str">
        <f aca="false">IF(B1085="","",IF(OR(I1085="",I1085="Open: needs a decision",L1085=""),"Open","Closed"))</f>
        <v/>
      </c>
      <c r="O1085" s="46"/>
      <c r="P1085" s="46" t="str">
        <f aca="false">IF(OR(B1085="",I1085&lt;&gt;"Save for a later revision"),"",IF(COUNTIF('Deferred edits'!$K$2:$K$201,A1085)&gt;0,"Yes","● Add to Deferred edits"))</f>
        <v/>
      </c>
    </row>
    <row r="1086" customFormat="false" ht="15" hidden="false" customHeight="false" outlineLevel="0" collapsed="false">
      <c r="A1086" s="46" t="s">
        <v>1381</v>
      </c>
      <c r="B1086" s="46"/>
      <c r="C1086" s="46"/>
      <c r="D1086" s="46"/>
      <c r="E1086" s="46"/>
      <c r="F1086" s="46"/>
      <c r="G1086" s="46"/>
      <c r="H1086" s="46"/>
      <c r="I1086" s="46"/>
      <c r="J1086" s="46"/>
      <c r="K1086" s="46"/>
      <c r="L1086" s="46"/>
      <c r="M1086" s="46" t="str">
        <f aca="false">IF(OR(B1086="",I1086=""),"",IFERROR(INDEX('Comment flow'!$C$40:$C$46,MATCH(I1086,'Comment flow'!$A$40:$A$46,0)),""))</f>
        <v/>
      </c>
      <c r="N1086" s="46" t="str">
        <f aca="false">IF(B1086="","",IF(OR(I1086="",I1086="Open: needs a decision",L1086=""),"Open","Closed"))</f>
        <v/>
      </c>
      <c r="O1086" s="46"/>
      <c r="P1086" s="46" t="str">
        <f aca="false">IF(OR(B1086="",I1086&lt;&gt;"Save for a later revision"),"",IF(COUNTIF('Deferred edits'!$K$2:$K$201,A1086)&gt;0,"Yes","● Add to Deferred edits"))</f>
        <v/>
      </c>
    </row>
    <row r="1087" customFormat="false" ht="15" hidden="false" customHeight="false" outlineLevel="0" collapsed="false">
      <c r="A1087" s="46" t="s">
        <v>1382</v>
      </c>
      <c r="B1087" s="46"/>
      <c r="C1087" s="46"/>
      <c r="D1087" s="46"/>
      <c r="E1087" s="46"/>
      <c r="F1087" s="46"/>
      <c r="G1087" s="46"/>
      <c r="H1087" s="46"/>
      <c r="I1087" s="46"/>
      <c r="J1087" s="46"/>
      <c r="K1087" s="46"/>
      <c r="L1087" s="46"/>
      <c r="M1087" s="46" t="str">
        <f aca="false">IF(OR(B1087="",I1087=""),"",IFERROR(INDEX('Comment flow'!$C$40:$C$46,MATCH(I1087,'Comment flow'!$A$40:$A$46,0)),""))</f>
        <v/>
      </c>
      <c r="N1087" s="46" t="str">
        <f aca="false">IF(B1087="","",IF(OR(I1087="",I1087="Open: needs a decision",L1087=""),"Open","Closed"))</f>
        <v/>
      </c>
      <c r="O1087" s="46"/>
      <c r="P1087" s="46" t="str">
        <f aca="false">IF(OR(B1087="",I1087&lt;&gt;"Save for a later revision"),"",IF(COUNTIF('Deferred edits'!$K$2:$K$201,A1087)&gt;0,"Yes","● Add to Deferred edits"))</f>
        <v/>
      </c>
    </row>
    <row r="1088" customFormat="false" ht="15" hidden="false" customHeight="false" outlineLevel="0" collapsed="false">
      <c r="A1088" s="46" t="s">
        <v>1383</v>
      </c>
      <c r="B1088" s="46"/>
      <c r="C1088" s="46"/>
      <c r="D1088" s="46"/>
      <c r="E1088" s="46"/>
      <c r="F1088" s="46"/>
      <c r="G1088" s="46"/>
      <c r="H1088" s="46"/>
      <c r="I1088" s="46"/>
      <c r="J1088" s="46"/>
      <c r="K1088" s="46"/>
      <c r="L1088" s="46"/>
      <c r="M1088" s="46" t="str">
        <f aca="false">IF(OR(B1088="",I1088=""),"",IFERROR(INDEX('Comment flow'!$C$40:$C$46,MATCH(I1088,'Comment flow'!$A$40:$A$46,0)),""))</f>
        <v/>
      </c>
      <c r="N1088" s="46" t="str">
        <f aca="false">IF(B1088="","",IF(OR(I1088="",I1088="Open: needs a decision",L1088=""),"Open","Closed"))</f>
        <v/>
      </c>
      <c r="O1088" s="46"/>
      <c r="P1088" s="46" t="str">
        <f aca="false">IF(OR(B1088="",I1088&lt;&gt;"Save for a later revision"),"",IF(COUNTIF('Deferred edits'!$K$2:$K$201,A1088)&gt;0,"Yes","● Add to Deferred edits"))</f>
        <v/>
      </c>
    </row>
    <row r="1089" customFormat="false" ht="15" hidden="false" customHeight="false" outlineLevel="0" collapsed="false">
      <c r="A1089" s="46" t="s">
        <v>1384</v>
      </c>
      <c r="B1089" s="46"/>
      <c r="C1089" s="46"/>
      <c r="D1089" s="46"/>
      <c r="E1089" s="46"/>
      <c r="F1089" s="46"/>
      <c r="G1089" s="46"/>
      <c r="H1089" s="46"/>
      <c r="I1089" s="46"/>
      <c r="J1089" s="46"/>
      <c r="K1089" s="46"/>
      <c r="L1089" s="46"/>
      <c r="M1089" s="46" t="str">
        <f aca="false">IF(OR(B1089="",I1089=""),"",IFERROR(INDEX('Comment flow'!$C$40:$C$46,MATCH(I1089,'Comment flow'!$A$40:$A$46,0)),""))</f>
        <v/>
      </c>
      <c r="N1089" s="46" t="str">
        <f aca="false">IF(B1089="","",IF(OR(I1089="",I1089="Open: needs a decision",L1089=""),"Open","Closed"))</f>
        <v/>
      </c>
      <c r="O1089" s="46"/>
      <c r="P1089" s="46" t="str">
        <f aca="false">IF(OR(B1089="",I1089&lt;&gt;"Save for a later revision"),"",IF(COUNTIF('Deferred edits'!$K$2:$K$201,A1089)&gt;0,"Yes","● Add to Deferred edits"))</f>
        <v/>
      </c>
    </row>
    <row r="1090" customFormat="false" ht="15" hidden="false" customHeight="false" outlineLevel="0" collapsed="false">
      <c r="A1090" s="46" t="s">
        <v>1385</v>
      </c>
      <c r="B1090" s="46"/>
      <c r="C1090" s="46"/>
      <c r="D1090" s="46"/>
      <c r="E1090" s="46"/>
      <c r="F1090" s="46"/>
      <c r="G1090" s="46"/>
      <c r="H1090" s="46"/>
      <c r="I1090" s="46"/>
      <c r="J1090" s="46"/>
      <c r="K1090" s="46"/>
      <c r="L1090" s="46"/>
      <c r="M1090" s="46" t="str">
        <f aca="false">IF(OR(B1090="",I1090=""),"",IFERROR(INDEX('Comment flow'!$C$40:$C$46,MATCH(I1090,'Comment flow'!$A$40:$A$46,0)),""))</f>
        <v/>
      </c>
      <c r="N1090" s="46" t="str">
        <f aca="false">IF(B1090="","",IF(OR(I1090="",I1090="Open: needs a decision",L1090=""),"Open","Closed"))</f>
        <v/>
      </c>
      <c r="O1090" s="46"/>
      <c r="P1090" s="46" t="str">
        <f aca="false">IF(OR(B1090="",I1090&lt;&gt;"Save for a later revision"),"",IF(COUNTIF('Deferred edits'!$K$2:$K$201,A1090)&gt;0,"Yes","● Add to Deferred edits"))</f>
        <v/>
      </c>
    </row>
    <row r="1091" customFormat="false" ht="15" hidden="false" customHeight="false" outlineLevel="0" collapsed="false">
      <c r="A1091" s="46" t="s">
        <v>1386</v>
      </c>
      <c r="B1091" s="46"/>
      <c r="C1091" s="46"/>
      <c r="D1091" s="46"/>
      <c r="E1091" s="46"/>
      <c r="F1091" s="46"/>
      <c r="G1091" s="46"/>
      <c r="H1091" s="46"/>
      <c r="I1091" s="46"/>
      <c r="J1091" s="46"/>
      <c r="K1091" s="46"/>
      <c r="L1091" s="46"/>
      <c r="M1091" s="46" t="str">
        <f aca="false">IF(OR(B1091="",I1091=""),"",IFERROR(INDEX('Comment flow'!$C$40:$C$46,MATCH(I1091,'Comment flow'!$A$40:$A$46,0)),""))</f>
        <v/>
      </c>
      <c r="N1091" s="46" t="str">
        <f aca="false">IF(B1091="","",IF(OR(I1091="",I1091="Open: needs a decision",L1091=""),"Open","Closed"))</f>
        <v/>
      </c>
      <c r="O1091" s="46"/>
      <c r="P1091" s="46" t="str">
        <f aca="false">IF(OR(B1091="",I1091&lt;&gt;"Save for a later revision"),"",IF(COUNTIF('Deferred edits'!$K$2:$K$201,A1091)&gt;0,"Yes","● Add to Deferred edits"))</f>
        <v/>
      </c>
    </row>
    <row r="1092" customFormat="false" ht="15" hidden="false" customHeight="false" outlineLevel="0" collapsed="false">
      <c r="A1092" s="46" t="s">
        <v>1387</v>
      </c>
      <c r="B1092" s="46"/>
      <c r="C1092" s="46"/>
      <c r="D1092" s="46"/>
      <c r="E1092" s="46"/>
      <c r="F1092" s="46"/>
      <c r="G1092" s="46"/>
      <c r="H1092" s="46"/>
      <c r="I1092" s="46"/>
      <c r="J1092" s="46"/>
      <c r="K1092" s="46"/>
      <c r="L1092" s="46"/>
      <c r="M1092" s="46" t="str">
        <f aca="false">IF(OR(B1092="",I1092=""),"",IFERROR(INDEX('Comment flow'!$C$40:$C$46,MATCH(I1092,'Comment flow'!$A$40:$A$46,0)),""))</f>
        <v/>
      </c>
      <c r="N1092" s="46" t="str">
        <f aca="false">IF(B1092="","",IF(OR(I1092="",I1092="Open: needs a decision",L1092=""),"Open","Closed"))</f>
        <v/>
      </c>
      <c r="O1092" s="46"/>
      <c r="P1092" s="46" t="str">
        <f aca="false">IF(OR(B1092="",I1092&lt;&gt;"Save for a later revision"),"",IF(COUNTIF('Deferred edits'!$K$2:$K$201,A1092)&gt;0,"Yes","● Add to Deferred edits"))</f>
        <v/>
      </c>
    </row>
    <row r="1093" customFormat="false" ht="15" hidden="false" customHeight="false" outlineLevel="0" collapsed="false">
      <c r="A1093" s="46" t="s">
        <v>1388</v>
      </c>
      <c r="B1093" s="46"/>
      <c r="C1093" s="46"/>
      <c r="D1093" s="46"/>
      <c r="E1093" s="46"/>
      <c r="F1093" s="46"/>
      <c r="G1093" s="46"/>
      <c r="H1093" s="46"/>
      <c r="I1093" s="46"/>
      <c r="J1093" s="46"/>
      <c r="K1093" s="46"/>
      <c r="L1093" s="46"/>
      <c r="M1093" s="46" t="str">
        <f aca="false">IF(OR(B1093="",I1093=""),"",IFERROR(INDEX('Comment flow'!$C$40:$C$46,MATCH(I1093,'Comment flow'!$A$40:$A$46,0)),""))</f>
        <v/>
      </c>
      <c r="N1093" s="46" t="str">
        <f aca="false">IF(B1093="","",IF(OR(I1093="",I1093="Open: needs a decision",L1093=""),"Open","Closed"))</f>
        <v/>
      </c>
      <c r="O1093" s="46"/>
      <c r="P1093" s="46" t="str">
        <f aca="false">IF(OR(B1093="",I1093&lt;&gt;"Save for a later revision"),"",IF(COUNTIF('Deferred edits'!$K$2:$K$201,A1093)&gt;0,"Yes","● Add to Deferred edits"))</f>
        <v/>
      </c>
    </row>
    <row r="1094" customFormat="false" ht="15" hidden="false" customHeight="false" outlineLevel="0" collapsed="false">
      <c r="A1094" s="46" t="s">
        <v>1389</v>
      </c>
      <c r="B1094" s="46"/>
      <c r="C1094" s="46"/>
      <c r="D1094" s="46"/>
      <c r="E1094" s="46"/>
      <c r="F1094" s="46"/>
      <c r="G1094" s="46"/>
      <c r="H1094" s="46"/>
      <c r="I1094" s="46"/>
      <c r="J1094" s="46"/>
      <c r="K1094" s="46"/>
      <c r="L1094" s="46"/>
      <c r="M1094" s="46" t="str">
        <f aca="false">IF(OR(B1094="",I1094=""),"",IFERROR(INDEX('Comment flow'!$C$40:$C$46,MATCH(I1094,'Comment flow'!$A$40:$A$46,0)),""))</f>
        <v/>
      </c>
      <c r="N1094" s="46" t="str">
        <f aca="false">IF(B1094="","",IF(OR(I1094="",I1094="Open: needs a decision",L1094=""),"Open","Closed"))</f>
        <v/>
      </c>
      <c r="O1094" s="46"/>
      <c r="P1094" s="46" t="str">
        <f aca="false">IF(OR(B1094="",I1094&lt;&gt;"Save for a later revision"),"",IF(COUNTIF('Deferred edits'!$K$2:$K$201,A1094)&gt;0,"Yes","● Add to Deferred edits"))</f>
        <v/>
      </c>
    </row>
    <row r="1095" customFormat="false" ht="15" hidden="false" customHeight="false" outlineLevel="0" collapsed="false">
      <c r="A1095" s="46" t="s">
        <v>1390</v>
      </c>
      <c r="B1095" s="46"/>
      <c r="C1095" s="46"/>
      <c r="D1095" s="46"/>
      <c r="E1095" s="46"/>
      <c r="F1095" s="46"/>
      <c r="G1095" s="46"/>
      <c r="H1095" s="46"/>
      <c r="I1095" s="46"/>
      <c r="J1095" s="46"/>
      <c r="K1095" s="46"/>
      <c r="L1095" s="46"/>
      <c r="M1095" s="46" t="str">
        <f aca="false">IF(OR(B1095="",I1095=""),"",IFERROR(INDEX('Comment flow'!$C$40:$C$46,MATCH(I1095,'Comment flow'!$A$40:$A$46,0)),""))</f>
        <v/>
      </c>
      <c r="N1095" s="46" t="str">
        <f aca="false">IF(B1095="","",IF(OR(I1095="",I1095="Open: needs a decision",L1095=""),"Open","Closed"))</f>
        <v/>
      </c>
      <c r="O1095" s="46"/>
      <c r="P1095" s="46" t="str">
        <f aca="false">IF(OR(B1095="",I1095&lt;&gt;"Save for a later revision"),"",IF(COUNTIF('Deferred edits'!$K$2:$K$201,A1095)&gt;0,"Yes","● Add to Deferred edits"))</f>
        <v/>
      </c>
    </row>
    <row r="1096" customFormat="false" ht="15" hidden="false" customHeight="false" outlineLevel="0" collapsed="false">
      <c r="A1096" s="46" t="s">
        <v>1391</v>
      </c>
      <c r="B1096" s="46"/>
      <c r="C1096" s="46"/>
      <c r="D1096" s="46"/>
      <c r="E1096" s="46"/>
      <c r="F1096" s="46"/>
      <c r="G1096" s="46"/>
      <c r="H1096" s="46"/>
      <c r="I1096" s="46"/>
      <c r="J1096" s="46"/>
      <c r="K1096" s="46"/>
      <c r="L1096" s="46"/>
      <c r="M1096" s="46" t="str">
        <f aca="false">IF(OR(B1096="",I1096=""),"",IFERROR(INDEX('Comment flow'!$C$40:$C$46,MATCH(I1096,'Comment flow'!$A$40:$A$46,0)),""))</f>
        <v/>
      </c>
      <c r="N1096" s="46" t="str">
        <f aca="false">IF(B1096="","",IF(OR(I1096="",I1096="Open: needs a decision",L1096=""),"Open","Closed"))</f>
        <v/>
      </c>
      <c r="O1096" s="46"/>
      <c r="P1096" s="46" t="str">
        <f aca="false">IF(OR(B1096="",I1096&lt;&gt;"Save for a later revision"),"",IF(COUNTIF('Deferred edits'!$K$2:$K$201,A1096)&gt;0,"Yes","● Add to Deferred edits"))</f>
        <v/>
      </c>
    </row>
    <row r="1097" customFormat="false" ht="15" hidden="false" customHeight="false" outlineLevel="0" collapsed="false">
      <c r="A1097" s="46" t="s">
        <v>1392</v>
      </c>
      <c r="B1097" s="46"/>
      <c r="C1097" s="46"/>
      <c r="D1097" s="46"/>
      <c r="E1097" s="46"/>
      <c r="F1097" s="46"/>
      <c r="G1097" s="46"/>
      <c r="H1097" s="46"/>
      <c r="I1097" s="46"/>
      <c r="J1097" s="46"/>
      <c r="K1097" s="46"/>
      <c r="L1097" s="46"/>
      <c r="M1097" s="46" t="str">
        <f aca="false">IF(OR(B1097="",I1097=""),"",IFERROR(INDEX('Comment flow'!$C$40:$C$46,MATCH(I1097,'Comment flow'!$A$40:$A$46,0)),""))</f>
        <v/>
      </c>
      <c r="N1097" s="46" t="str">
        <f aca="false">IF(B1097="","",IF(OR(I1097="",I1097="Open: needs a decision",L1097=""),"Open","Closed"))</f>
        <v/>
      </c>
      <c r="O1097" s="46"/>
      <c r="P1097" s="46" t="str">
        <f aca="false">IF(OR(B1097="",I1097&lt;&gt;"Save for a later revision"),"",IF(COUNTIF('Deferred edits'!$K$2:$K$201,A1097)&gt;0,"Yes","● Add to Deferred edits"))</f>
        <v/>
      </c>
    </row>
    <row r="1098" customFormat="false" ht="15" hidden="false" customHeight="false" outlineLevel="0" collapsed="false">
      <c r="A1098" s="46" t="s">
        <v>1393</v>
      </c>
      <c r="B1098" s="46"/>
      <c r="C1098" s="46"/>
      <c r="D1098" s="46"/>
      <c r="E1098" s="46"/>
      <c r="F1098" s="46"/>
      <c r="G1098" s="46"/>
      <c r="H1098" s="46"/>
      <c r="I1098" s="46"/>
      <c r="J1098" s="46"/>
      <c r="K1098" s="46"/>
      <c r="L1098" s="46"/>
      <c r="M1098" s="46" t="str">
        <f aca="false">IF(OR(B1098="",I1098=""),"",IFERROR(INDEX('Comment flow'!$C$40:$C$46,MATCH(I1098,'Comment flow'!$A$40:$A$46,0)),""))</f>
        <v/>
      </c>
      <c r="N1098" s="46" t="str">
        <f aca="false">IF(B1098="","",IF(OR(I1098="",I1098="Open: needs a decision",L1098=""),"Open","Closed"))</f>
        <v/>
      </c>
      <c r="O1098" s="46"/>
      <c r="P1098" s="46" t="str">
        <f aca="false">IF(OR(B1098="",I1098&lt;&gt;"Save for a later revision"),"",IF(COUNTIF('Deferred edits'!$K$2:$K$201,A1098)&gt;0,"Yes","● Add to Deferred edits"))</f>
        <v/>
      </c>
    </row>
    <row r="1099" customFormat="false" ht="15" hidden="false" customHeight="false" outlineLevel="0" collapsed="false">
      <c r="A1099" s="46" t="s">
        <v>1394</v>
      </c>
      <c r="B1099" s="46"/>
      <c r="C1099" s="46"/>
      <c r="D1099" s="46"/>
      <c r="E1099" s="46"/>
      <c r="F1099" s="46"/>
      <c r="G1099" s="46"/>
      <c r="H1099" s="46"/>
      <c r="I1099" s="46"/>
      <c r="J1099" s="46"/>
      <c r="K1099" s="46"/>
      <c r="L1099" s="46"/>
      <c r="M1099" s="46" t="str">
        <f aca="false">IF(OR(B1099="",I1099=""),"",IFERROR(INDEX('Comment flow'!$C$40:$C$46,MATCH(I1099,'Comment flow'!$A$40:$A$46,0)),""))</f>
        <v/>
      </c>
      <c r="N1099" s="46" t="str">
        <f aca="false">IF(B1099="","",IF(OR(I1099="",I1099="Open: needs a decision",L1099=""),"Open","Closed"))</f>
        <v/>
      </c>
      <c r="O1099" s="46"/>
      <c r="P1099" s="46" t="str">
        <f aca="false">IF(OR(B1099="",I1099&lt;&gt;"Save for a later revision"),"",IF(COUNTIF('Deferred edits'!$K$2:$K$201,A1099)&gt;0,"Yes","● Add to Deferred edits"))</f>
        <v/>
      </c>
    </row>
    <row r="1100" customFormat="false" ht="15" hidden="false" customHeight="false" outlineLevel="0" collapsed="false">
      <c r="A1100" s="46" t="s">
        <v>1395</v>
      </c>
      <c r="B1100" s="46"/>
      <c r="C1100" s="46"/>
      <c r="D1100" s="46"/>
      <c r="E1100" s="46"/>
      <c r="F1100" s="46"/>
      <c r="G1100" s="46"/>
      <c r="H1100" s="46"/>
      <c r="I1100" s="46"/>
      <c r="J1100" s="46"/>
      <c r="K1100" s="46"/>
      <c r="L1100" s="46"/>
      <c r="M1100" s="46" t="str">
        <f aca="false">IF(OR(B1100="",I1100=""),"",IFERROR(INDEX('Comment flow'!$C$40:$C$46,MATCH(I1100,'Comment flow'!$A$40:$A$46,0)),""))</f>
        <v/>
      </c>
      <c r="N1100" s="46" t="str">
        <f aca="false">IF(B1100="","",IF(OR(I1100="",I1100="Open: needs a decision",L1100=""),"Open","Closed"))</f>
        <v/>
      </c>
      <c r="O1100" s="46"/>
      <c r="P1100" s="46" t="str">
        <f aca="false">IF(OR(B1100="",I1100&lt;&gt;"Save for a later revision"),"",IF(COUNTIF('Deferred edits'!$K$2:$K$201,A1100)&gt;0,"Yes","● Add to Deferred edits"))</f>
        <v/>
      </c>
    </row>
    <row r="1101" customFormat="false" ht="15" hidden="false" customHeight="false" outlineLevel="0" collapsed="false">
      <c r="A1101" s="46" t="s">
        <v>1396</v>
      </c>
      <c r="B1101" s="46"/>
      <c r="C1101" s="46"/>
      <c r="D1101" s="46"/>
      <c r="E1101" s="46"/>
      <c r="F1101" s="46"/>
      <c r="G1101" s="46"/>
      <c r="H1101" s="46"/>
      <c r="I1101" s="46"/>
      <c r="J1101" s="46"/>
      <c r="K1101" s="46"/>
      <c r="L1101" s="46"/>
      <c r="M1101" s="46" t="str">
        <f aca="false">IF(OR(B1101="",I1101=""),"",IFERROR(INDEX('Comment flow'!$C$40:$C$46,MATCH(I1101,'Comment flow'!$A$40:$A$46,0)),""))</f>
        <v/>
      </c>
      <c r="N1101" s="46" t="str">
        <f aca="false">IF(B1101="","",IF(OR(I1101="",I1101="Open: needs a decision",L1101=""),"Open","Closed"))</f>
        <v/>
      </c>
      <c r="O1101" s="46"/>
      <c r="P1101" s="46" t="str">
        <f aca="false">IF(OR(B1101="",I1101&lt;&gt;"Save for a later revision"),"",IF(COUNTIF('Deferred edits'!$K$2:$K$201,A1101)&gt;0,"Yes","● Add to Deferred edits"))</f>
        <v/>
      </c>
    </row>
    <row r="1102" customFormat="false" ht="15" hidden="false" customHeight="false" outlineLevel="0" collapsed="false">
      <c r="A1102" s="46" t="s">
        <v>1397</v>
      </c>
      <c r="B1102" s="46"/>
      <c r="C1102" s="46"/>
      <c r="D1102" s="46"/>
      <c r="E1102" s="46"/>
      <c r="F1102" s="46"/>
      <c r="G1102" s="46"/>
      <c r="H1102" s="46"/>
      <c r="I1102" s="46"/>
      <c r="J1102" s="46"/>
      <c r="K1102" s="46"/>
      <c r="L1102" s="46"/>
      <c r="M1102" s="46" t="str">
        <f aca="false">IF(OR(B1102="",I1102=""),"",IFERROR(INDEX('Comment flow'!$C$40:$C$46,MATCH(I1102,'Comment flow'!$A$40:$A$46,0)),""))</f>
        <v/>
      </c>
      <c r="N1102" s="46" t="str">
        <f aca="false">IF(B1102="","",IF(OR(I1102="",I1102="Open: needs a decision",L1102=""),"Open","Closed"))</f>
        <v/>
      </c>
      <c r="O1102" s="46"/>
      <c r="P1102" s="46" t="str">
        <f aca="false">IF(OR(B1102="",I1102&lt;&gt;"Save for a later revision"),"",IF(COUNTIF('Deferred edits'!$K$2:$K$201,A1102)&gt;0,"Yes","● Add to Deferred edits"))</f>
        <v/>
      </c>
    </row>
    <row r="1103" customFormat="false" ht="15" hidden="false" customHeight="false" outlineLevel="0" collapsed="false">
      <c r="A1103" s="46" t="s">
        <v>1398</v>
      </c>
      <c r="B1103" s="46"/>
      <c r="C1103" s="46"/>
      <c r="D1103" s="46"/>
      <c r="E1103" s="46"/>
      <c r="F1103" s="46"/>
      <c r="G1103" s="46"/>
      <c r="H1103" s="46"/>
      <c r="I1103" s="46"/>
      <c r="J1103" s="46"/>
      <c r="K1103" s="46"/>
      <c r="L1103" s="46"/>
      <c r="M1103" s="46" t="str">
        <f aca="false">IF(OR(B1103="",I1103=""),"",IFERROR(INDEX('Comment flow'!$C$40:$C$46,MATCH(I1103,'Comment flow'!$A$40:$A$46,0)),""))</f>
        <v/>
      </c>
      <c r="N1103" s="46" t="str">
        <f aca="false">IF(B1103="","",IF(OR(I1103="",I1103="Open: needs a decision",L1103=""),"Open","Closed"))</f>
        <v/>
      </c>
      <c r="O1103" s="46"/>
      <c r="P1103" s="46" t="str">
        <f aca="false">IF(OR(B1103="",I1103&lt;&gt;"Save for a later revision"),"",IF(COUNTIF('Deferred edits'!$K$2:$K$201,A1103)&gt;0,"Yes","● Add to Deferred edits"))</f>
        <v/>
      </c>
    </row>
    <row r="1104" customFormat="false" ht="15" hidden="false" customHeight="false" outlineLevel="0" collapsed="false">
      <c r="A1104" s="46" t="s">
        <v>1399</v>
      </c>
      <c r="B1104" s="46"/>
      <c r="C1104" s="46"/>
      <c r="D1104" s="46"/>
      <c r="E1104" s="46"/>
      <c r="F1104" s="46"/>
      <c r="G1104" s="46"/>
      <c r="H1104" s="46"/>
      <c r="I1104" s="46"/>
      <c r="J1104" s="46"/>
      <c r="K1104" s="46"/>
      <c r="L1104" s="46"/>
      <c r="M1104" s="46" t="str">
        <f aca="false">IF(OR(B1104="",I1104=""),"",IFERROR(INDEX('Comment flow'!$C$40:$C$46,MATCH(I1104,'Comment flow'!$A$40:$A$46,0)),""))</f>
        <v/>
      </c>
      <c r="N1104" s="46" t="str">
        <f aca="false">IF(B1104="","",IF(OR(I1104="",I1104="Open: needs a decision",L1104=""),"Open","Closed"))</f>
        <v/>
      </c>
      <c r="O1104" s="46"/>
      <c r="P1104" s="46" t="str">
        <f aca="false">IF(OR(B1104="",I1104&lt;&gt;"Save for a later revision"),"",IF(COUNTIF('Deferred edits'!$K$2:$K$201,A1104)&gt;0,"Yes","● Add to Deferred edits"))</f>
        <v/>
      </c>
    </row>
    <row r="1105" customFormat="false" ht="15" hidden="false" customHeight="false" outlineLevel="0" collapsed="false">
      <c r="A1105" s="46" t="s">
        <v>1400</v>
      </c>
      <c r="B1105" s="46"/>
      <c r="C1105" s="46"/>
      <c r="D1105" s="46"/>
      <c r="E1105" s="46"/>
      <c r="F1105" s="46"/>
      <c r="G1105" s="46"/>
      <c r="H1105" s="46"/>
      <c r="I1105" s="46"/>
      <c r="J1105" s="46"/>
      <c r="K1105" s="46"/>
      <c r="L1105" s="46"/>
      <c r="M1105" s="46" t="str">
        <f aca="false">IF(OR(B1105="",I1105=""),"",IFERROR(INDEX('Comment flow'!$C$40:$C$46,MATCH(I1105,'Comment flow'!$A$40:$A$46,0)),""))</f>
        <v/>
      </c>
      <c r="N1105" s="46" t="str">
        <f aca="false">IF(B1105="","",IF(OR(I1105="",I1105="Open: needs a decision",L1105=""),"Open","Closed"))</f>
        <v/>
      </c>
      <c r="O1105" s="46"/>
      <c r="P1105" s="46" t="str">
        <f aca="false">IF(OR(B1105="",I1105&lt;&gt;"Save for a later revision"),"",IF(COUNTIF('Deferred edits'!$K$2:$K$201,A1105)&gt;0,"Yes","● Add to Deferred edits"))</f>
        <v/>
      </c>
    </row>
    <row r="1106" customFormat="false" ht="15" hidden="false" customHeight="false" outlineLevel="0" collapsed="false">
      <c r="A1106" s="46" t="s">
        <v>1401</v>
      </c>
      <c r="B1106" s="46"/>
      <c r="C1106" s="46"/>
      <c r="D1106" s="46"/>
      <c r="E1106" s="46"/>
      <c r="F1106" s="46"/>
      <c r="G1106" s="46"/>
      <c r="H1106" s="46"/>
      <c r="I1106" s="46"/>
      <c r="J1106" s="46"/>
      <c r="K1106" s="46"/>
      <c r="L1106" s="46"/>
      <c r="M1106" s="46" t="str">
        <f aca="false">IF(OR(B1106="",I1106=""),"",IFERROR(INDEX('Comment flow'!$C$40:$C$46,MATCH(I1106,'Comment flow'!$A$40:$A$46,0)),""))</f>
        <v/>
      </c>
      <c r="N1106" s="46" t="str">
        <f aca="false">IF(B1106="","",IF(OR(I1106="",I1106="Open: needs a decision",L1106=""),"Open","Closed"))</f>
        <v/>
      </c>
      <c r="O1106" s="46"/>
      <c r="P1106" s="46" t="str">
        <f aca="false">IF(OR(B1106="",I1106&lt;&gt;"Save for a later revision"),"",IF(COUNTIF('Deferred edits'!$K$2:$K$201,A1106)&gt;0,"Yes","● Add to Deferred edits"))</f>
        <v/>
      </c>
    </row>
    <row r="1107" customFormat="false" ht="15" hidden="false" customHeight="false" outlineLevel="0" collapsed="false">
      <c r="A1107" s="46" t="s">
        <v>1402</v>
      </c>
      <c r="B1107" s="46"/>
      <c r="C1107" s="46"/>
      <c r="D1107" s="46"/>
      <c r="E1107" s="46"/>
      <c r="F1107" s="46"/>
      <c r="G1107" s="46"/>
      <c r="H1107" s="46"/>
      <c r="I1107" s="46"/>
      <c r="J1107" s="46"/>
      <c r="K1107" s="46"/>
      <c r="L1107" s="46"/>
      <c r="M1107" s="46" t="str">
        <f aca="false">IF(OR(B1107="",I1107=""),"",IFERROR(INDEX('Comment flow'!$C$40:$C$46,MATCH(I1107,'Comment flow'!$A$40:$A$46,0)),""))</f>
        <v/>
      </c>
      <c r="N1107" s="46" t="str">
        <f aca="false">IF(B1107="","",IF(OR(I1107="",I1107="Open: needs a decision",L1107=""),"Open","Closed"))</f>
        <v/>
      </c>
      <c r="O1107" s="46"/>
      <c r="P1107" s="46" t="str">
        <f aca="false">IF(OR(B1107="",I1107&lt;&gt;"Save for a later revision"),"",IF(COUNTIF('Deferred edits'!$K$2:$K$201,A1107)&gt;0,"Yes","● Add to Deferred edits"))</f>
        <v/>
      </c>
    </row>
    <row r="1108" customFormat="false" ht="15" hidden="false" customHeight="false" outlineLevel="0" collapsed="false">
      <c r="A1108" s="46" t="s">
        <v>1403</v>
      </c>
      <c r="B1108" s="46"/>
      <c r="C1108" s="46"/>
      <c r="D1108" s="46"/>
      <c r="E1108" s="46"/>
      <c r="F1108" s="46"/>
      <c r="G1108" s="46"/>
      <c r="H1108" s="46"/>
      <c r="I1108" s="46"/>
      <c r="J1108" s="46"/>
      <c r="K1108" s="46"/>
      <c r="L1108" s="46"/>
      <c r="M1108" s="46" t="str">
        <f aca="false">IF(OR(B1108="",I1108=""),"",IFERROR(INDEX('Comment flow'!$C$40:$C$46,MATCH(I1108,'Comment flow'!$A$40:$A$46,0)),""))</f>
        <v/>
      </c>
      <c r="N1108" s="46" t="str">
        <f aca="false">IF(B1108="","",IF(OR(I1108="",I1108="Open: needs a decision",L1108=""),"Open","Closed"))</f>
        <v/>
      </c>
      <c r="O1108" s="46"/>
      <c r="P1108" s="46" t="str">
        <f aca="false">IF(OR(B1108="",I1108&lt;&gt;"Save for a later revision"),"",IF(COUNTIF('Deferred edits'!$K$2:$K$201,A1108)&gt;0,"Yes","● Add to Deferred edits"))</f>
        <v/>
      </c>
    </row>
    <row r="1109" customFormat="false" ht="15" hidden="false" customHeight="false" outlineLevel="0" collapsed="false">
      <c r="A1109" s="46" t="s">
        <v>1404</v>
      </c>
      <c r="B1109" s="46"/>
      <c r="C1109" s="46"/>
      <c r="D1109" s="46"/>
      <c r="E1109" s="46"/>
      <c r="F1109" s="46"/>
      <c r="G1109" s="46"/>
      <c r="H1109" s="46"/>
      <c r="I1109" s="46"/>
      <c r="J1109" s="46"/>
      <c r="K1109" s="46"/>
      <c r="L1109" s="46"/>
      <c r="M1109" s="46" t="str">
        <f aca="false">IF(OR(B1109="",I1109=""),"",IFERROR(INDEX('Comment flow'!$C$40:$C$46,MATCH(I1109,'Comment flow'!$A$40:$A$46,0)),""))</f>
        <v/>
      </c>
      <c r="N1109" s="46" t="str">
        <f aca="false">IF(B1109="","",IF(OR(I1109="",I1109="Open: needs a decision",L1109=""),"Open","Closed"))</f>
        <v/>
      </c>
      <c r="O1109" s="46"/>
      <c r="P1109" s="46" t="str">
        <f aca="false">IF(OR(B1109="",I1109&lt;&gt;"Save for a later revision"),"",IF(COUNTIF('Deferred edits'!$K$2:$K$201,A1109)&gt;0,"Yes","● Add to Deferred edits"))</f>
        <v/>
      </c>
    </row>
    <row r="1110" customFormat="false" ht="15" hidden="false" customHeight="false" outlineLevel="0" collapsed="false">
      <c r="A1110" s="46" t="s">
        <v>1405</v>
      </c>
      <c r="B1110" s="46"/>
      <c r="C1110" s="46"/>
      <c r="D1110" s="46"/>
      <c r="E1110" s="46"/>
      <c r="F1110" s="46"/>
      <c r="G1110" s="46"/>
      <c r="H1110" s="46"/>
      <c r="I1110" s="46"/>
      <c r="J1110" s="46"/>
      <c r="K1110" s="46"/>
      <c r="L1110" s="46"/>
      <c r="M1110" s="46" t="str">
        <f aca="false">IF(OR(B1110="",I1110=""),"",IFERROR(INDEX('Comment flow'!$C$40:$C$46,MATCH(I1110,'Comment flow'!$A$40:$A$46,0)),""))</f>
        <v/>
      </c>
      <c r="N1110" s="46" t="str">
        <f aca="false">IF(B1110="","",IF(OR(I1110="",I1110="Open: needs a decision",L1110=""),"Open","Closed"))</f>
        <v/>
      </c>
      <c r="O1110" s="46"/>
      <c r="P1110" s="46" t="str">
        <f aca="false">IF(OR(B1110="",I1110&lt;&gt;"Save for a later revision"),"",IF(COUNTIF('Deferred edits'!$K$2:$K$201,A1110)&gt;0,"Yes","● Add to Deferred edits"))</f>
        <v/>
      </c>
    </row>
    <row r="1111" customFormat="false" ht="15" hidden="false" customHeight="false" outlineLevel="0" collapsed="false">
      <c r="A1111" s="46" t="s">
        <v>1406</v>
      </c>
      <c r="B1111" s="46"/>
      <c r="C1111" s="46"/>
      <c r="D1111" s="46"/>
      <c r="E1111" s="46"/>
      <c r="F1111" s="46"/>
      <c r="G1111" s="46"/>
      <c r="H1111" s="46"/>
      <c r="I1111" s="46"/>
      <c r="J1111" s="46"/>
      <c r="K1111" s="46"/>
      <c r="L1111" s="46"/>
      <c r="M1111" s="46" t="str">
        <f aca="false">IF(OR(B1111="",I1111=""),"",IFERROR(INDEX('Comment flow'!$C$40:$C$46,MATCH(I1111,'Comment flow'!$A$40:$A$46,0)),""))</f>
        <v/>
      </c>
      <c r="N1111" s="46" t="str">
        <f aca="false">IF(B1111="","",IF(OR(I1111="",I1111="Open: needs a decision",L1111=""),"Open","Closed"))</f>
        <v/>
      </c>
      <c r="O1111" s="46"/>
      <c r="P1111" s="46" t="str">
        <f aca="false">IF(OR(B1111="",I1111&lt;&gt;"Save for a later revision"),"",IF(COUNTIF('Deferred edits'!$K$2:$K$201,A1111)&gt;0,"Yes","● Add to Deferred edits"))</f>
        <v/>
      </c>
    </row>
    <row r="1112" customFormat="false" ht="15" hidden="false" customHeight="false" outlineLevel="0" collapsed="false">
      <c r="A1112" s="46" t="s">
        <v>1407</v>
      </c>
      <c r="B1112" s="46"/>
      <c r="C1112" s="46"/>
      <c r="D1112" s="46"/>
      <c r="E1112" s="46"/>
      <c r="F1112" s="46"/>
      <c r="G1112" s="46"/>
      <c r="H1112" s="46"/>
      <c r="I1112" s="46"/>
      <c r="J1112" s="46"/>
      <c r="K1112" s="46"/>
      <c r="L1112" s="46"/>
      <c r="M1112" s="46" t="str">
        <f aca="false">IF(OR(B1112="",I1112=""),"",IFERROR(INDEX('Comment flow'!$C$40:$C$46,MATCH(I1112,'Comment flow'!$A$40:$A$46,0)),""))</f>
        <v/>
      </c>
      <c r="N1112" s="46" t="str">
        <f aca="false">IF(B1112="","",IF(OR(I1112="",I1112="Open: needs a decision",L1112=""),"Open","Closed"))</f>
        <v/>
      </c>
      <c r="O1112" s="46"/>
      <c r="P1112" s="46" t="str">
        <f aca="false">IF(OR(B1112="",I1112&lt;&gt;"Save for a later revision"),"",IF(COUNTIF('Deferred edits'!$K$2:$K$201,A1112)&gt;0,"Yes","● Add to Deferred edits"))</f>
        <v/>
      </c>
    </row>
    <row r="1113" customFormat="false" ht="15" hidden="false" customHeight="false" outlineLevel="0" collapsed="false">
      <c r="A1113" s="46" t="s">
        <v>1408</v>
      </c>
      <c r="B1113" s="46"/>
      <c r="C1113" s="46"/>
      <c r="D1113" s="46"/>
      <c r="E1113" s="46"/>
      <c r="F1113" s="46"/>
      <c r="G1113" s="46"/>
      <c r="H1113" s="46"/>
      <c r="I1113" s="46"/>
      <c r="J1113" s="46"/>
      <c r="K1113" s="46"/>
      <c r="L1113" s="46"/>
      <c r="M1113" s="46" t="str">
        <f aca="false">IF(OR(B1113="",I1113=""),"",IFERROR(INDEX('Comment flow'!$C$40:$C$46,MATCH(I1113,'Comment flow'!$A$40:$A$46,0)),""))</f>
        <v/>
      </c>
      <c r="N1113" s="46" t="str">
        <f aca="false">IF(B1113="","",IF(OR(I1113="",I1113="Open: needs a decision",L1113=""),"Open","Closed"))</f>
        <v/>
      </c>
      <c r="O1113" s="46"/>
      <c r="P1113" s="46" t="str">
        <f aca="false">IF(OR(B1113="",I1113&lt;&gt;"Save for a later revision"),"",IF(COUNTIF('Deferred edits'!$K$2:$K$201,A1113)&gt;0,"Yes","● Add to Deferred edits"))</f>
        <v/>
      </c>
    </row>
    <row r="1114" customFormat="false" ht="15" hidden="false" customHeight="false" outlineLevel="0" collapsed="false">
      <c r="A1114" s="46" t="s">
        <v>1409</v>
      </c>
      <c r="B1114" s="46"/>
      <c r="C1114" s="46"/>
      <c r="D1114" s="46"/>
      <c r="E1114" s="46"/>
      <c r="F1114" s="46"/>
      <c r="G1114" s="46"/>
      <c r="H1114" s="46"/>
      <c r="I1114" s="46"/>
      <c r="J1114" s="46"/>
      <c r="K1114" s="46"/>
      <c r="L1114" s="46"/>
      <c r="M1114" s="46" t="str">
        <f aca="false">IF(OR(B1114="",I1114=""),"",IFERROR(INDEX('Comment flow'!$C$40:$C$46,MATCH(I1114,'Comment flow'!$A$40:$A$46,0)),""))</f>
        <v/>
      </c>
      <c r="N1114" s="46" t="str">
        <f aca="false">IF(B1114="","",IF(OR(I1114="",I1114="Open: needs a decision",L1114=""),"Open","Closed"))</f>
        <v/>
      </c>
      <c r="O1114" s="46"/>
      <c r="P1114" s="46" t="str">
        <f aca="false">IF(OR(B1114="",I1114&lt;&gt;"Save for a later revision"),"",IF(COUNTIF('Deferred edits'!$K$2:$K$201,A1114)&gt;0,"Yes","● Add to Deferred edits"))</f>
        <v/>
      </c>
    </row>
    <row r="1115" customFormat="false" ht="15" hidden="false" customHeight="false" outlineLevel="0" collapsed="false">
      <c r="A1115" s="46" t="s">
        <v>1410</v>
      </c>
      <c r="B1115" s="46"/>
      <c r="C1115" s="46"/>
      <c r="D1115" s="46"/>
      <c r="E1115" s="46"/>
      <c r="F1115" s="46"/>
      <c r="G1115" s="46"/>
      <c r="H1115" s="46"/>
      <c r="I1115" s="46"/>
      <c r="J1115" s="46"/>
      <c r="K1115" s="46"/>
      <c r="L1115" s="46"/>
      <c r="M1115" s="46" t="str">
        <f aca="false">IF(OR(B1115="",I1115=""),"",IFERROR(INDEX('Comment flow'!$C$40:$C$46,MATCH(I1115,'Comment flow'!$A$40:$A$46,0)),""))</f>
        <v/>
      </c>
      <c r="N1115" s="46" t="str">
        <f aca="false">IF(B1115="","",IF(OR(I1115="",I1115="Open: needs a decision",L1115=""),"Open","Closed"))</f>
        <v/>
      </c>
      <c r="O1115" s="46"/>
      <c r="P1115" s="46" t="str">
        <f aca="false">IF(OR(B1115="",I1115&lt;&gt;"Save for a later revision"),"",IF(COUNTIF('Deferred edits'!$K$2:$K$201,A1115)&gt;0,"Yes","● Add to Deferred edits"))</f>
        <v/>
      </c>
    </row>
    <row r="1116" customFormat="false" ht="15" hidden="false" customHeight="false" outlineLevel="0" collapsed="false">
      <c r="A1116" s="46" t="s">
        <v>1411</v>
      </c>
      <c r="B1116" s="46"/>
      <c r="C1116" s="46"/>
      <c r="D1116" s="46"/>
      <c r="E1116" s="46"/>
      <c r="F1116" s="46"/>
      <c r="G1116" s="46"/>
      <c r="H1116" s="46"/>
      <c r="I1116" s="46"/>
      <c r="J1116" s="46"/>
      <c r="K1116" s="46"/>
      <c r="L1116" s="46"/>
      <c r="M1116" s="46" t="str">
        <f aca="false">IF(OR(B1116="",I1116=""),"",IFERROR(INDEX('Comment flow'!$C$40:$C$46,MATCH(I1116,'Comment flow'!$A$40:$A$46,0)),""))</f>
        <v/>
      </c>
      <c r="N1116" s="46" t="str">
        <f aca="false">IF(B1116="","",IF(OR(I1116="",I1116="Open: needs a decision",L1116=""),"Open","Closed"))</f>
        <v/>
      </c>
      <c r="O1116" s="46"/>
      <c r="P1116" s="46" t="str">
        <f aca="false">IF(OR(B1116="",I1116&lt;&gt;"Save for a later revision"),"",IF(COUNTIF('Deferred edits'!$K$2:$K$201,A1116)&gt;0,"Yes","● Add to Deferred edits"))</f>
        <v/>
      </c>
    </row>
    <row r="1117" customFormat="false" ht="15" hidden="false" customHeight="false" outlineLevel="0" collapsed="false">
      <c r="A1117" s="46" t="s">
        <v>1412</v>
      </c>
      <c r="B1117" s="46"/>
      <c r="C1117" s="46"/>
      <c r="D1117" s="46"/>
      <c r="E1117" s="46"/>
      <c r="F1117" s="46"/>
      <c r="G1117" s="46"/>
      <c r="H1117" s="46"/>
      <c r="I1117" s="46"/>
      <c r="J1117" s="46"/>
      <c r="K1117" s="46"/>
      <c r="L1117" s="46"/>
      <c r="M1117" s="46" t="str">
        <f aca="false">IF(OR(B1117="",I1117=""),"",IFERROR(INDEX('Comment flow'!$C$40:$C$46,MATCH(I1117,'Comment flow'!$A$40:$A$46,0)),""))</f>
        <v/>
      </c>
      <c r="N1117" s="46" t="str">
        <f aca="false">IF(B1117="","",IF(OR(I1117="",I1117="Open: needs a decision",L1117=""),"Open","Closed"))</f>
        <v/>
      </c>
      <c r="O1117" s="46"/>
      <c r="P1117" s="46" t="str">
        <f aca="false">IF(OR(B1117="",I1117&lt;&gt;"Save for a later revision"),"",IF(COUNTIF('Deferred edits'!$K$2:$K$201,A1117)&gt;0,"Yes","● Add to Deferred edits"))</f>
        <v/>
      </c>
    </row>
    <row r="1118" customFormat="false" ht="15" hidden="false" customHeight="false" outlineLevel="0" collapsed="false">
      <c r="A1118" s="46" t="s">
        <v>1413</v>
      </c>
      <c r="B1118" s="46"/>
      <c r="C1118" s="46"/>
      <c r="D1118" s="46"/>
      <c r="E1118" s="46"/>
      <c r="F1118" s="46"/>
      <c r="G1118" s="46"/>
      <c r="H1118" s="46"/>
      <c r="I1118" s="46"/>
      <c r="J1118" s="46"/>
      <c r="K1118" s="46"/>
      <c r="L1118" s="46"/>
      <c r="M1118" s="46" t="str">
        <f aca="false">IF(OR(B1118="",I1118=""),"",IFERROR(INDEX('Comment flow'!$C$40:$C$46,MATCH(I1118,'Comment flow'!$A$40:$A$46,0)),""))</f>
        <v/>
      </c>
      <c r="N1118" s="46" t="str">
        <f aca="false">IF(B1118="","",IF(OR(I1118="",I1118="Open: needs a decision",L1118=""),"Open","Closed"))</f>
        <v/>
      </c>
      <c r="O1118" s="46"/>
      <c r="P1118" s="46" t="str">
        <f aca="false">IF(OR(B1118="",I1118&lt;&gt;"Save for a later revision"),"",IF(COUNTIF('Deferred edits'!$K$2:$K$201,A1118)&gt;0,"Yes","● Add to Deferred edits"))</f>
        <v/>
      </c>
    </row>
    <row r="1119" customFormat="false" ht="15" hidden="false" customHeight="false" outlineLevel="0" collapsed="false">
      <c r="A1119" s="46" t="s">
        <v>1414</v>
      </c>
      <c r="B1119" s="46"/>
      <c r="C1119" s="46"/>
      <c r="D1119" s="46"/>
      <c r="E1119" s="46"/>
      <c r="F1119" s="46"/>
      <c r="G1119" s="46"/>
      <c r="H1119" s="46"/>
      <c r="I1119" s="46"/>
      <c r="J1119" s="46"/>
      <c r="K1119" s="46"/>
      <c r="L1119" s="46"/>
      <c r="M1119" s="46" t="str">
        <f aca="false">IF(OR(B1119="",I1119=""),"",IFERROR(INDEX('Comment flow'!$C$40:$C$46,MATCH(I1119,'Comment flow'!$A$40:$A$46,0)),""))</f>
        <v/>
      </c>
      <c r="N1119" s="46" t="str">
        <f aca="false">IF(B1119="","",IF(OR(I1119="",I1119="Open: needs a decision",L1119=""),"Open","Closed"))</f>
        <v/>
      </c>
      <c r="O1119" s="46"/>
      <c r="P1119" s="46" t="str">
        <f aca="false">IF(OR(B1119="",I1119&lt;&gt;"Save for a later revision"),"",IF(COUNTIF('Deferred edits'!$K$2:$K$201,A1119)&gt;0,"Yes","● Add to Deferred edits"))</f>
        <v/>
      </c>
    </row>
    <row r="1120" customFormat="false" ht="15" hidden="false" customHeight="false" outlineLevel="0" collapsed="false">
      <c r="A1120" s="46" t="s">
        <v>1415</v>
      </c>
      <c r="B1120" s="46"/>
      <c r="C1120" s="46"/>
      <c r="D1120" s="46"/>
      <c r="E1120" s="46"/>
      <c r="F1120" s="46"/>
      <c r="G1120" s="46"/>
      <c r="H1120" s="46"/>
      <c r="I1120" s="46"/>
      <c r="J1120" s="46"/>
      <c r="K1120" s="46"/>
      <c r="L1120" s="46"/>
      <c r="M1120" s="46" t="str">
        <f aca="false">IF(OR(B1120="",I1120=""),"",IFERROR(INDEX('Comment flow'!$C$40:$C$46,MATCH(I1120,'Comment flow'!$A$40:$A$46,0)),""))</f>
        <v/>
      </c>
      <c r="N1120" s="46" t="str">
        <f aca="false">IF(B1120="","",IF(OR(I1120="",I1120="Open: needs a decision",L1120=""),"Open","Closed"))</f>
        <v/>
      </c>
      <c r="O1120" s="46"/>
      <c r="P1120" s="46" t="str">
        <f aca="false">IF(OR(B1120="",I1120&lt;&gt;"Save for a later revision"),"",IF(COUNTIF('Deferred edits'!$K$2:$K$201,A1120)&gt;0,"Yes","● Add to Deferred edits"))</f>
        <v/>
      </c>
    </row>
    <row r="1121" customFormat="false" ht="15" hidden="false" customHeight="false" outlineLevel="0" collapsed="false">
      <c r="A1121" s="46" t="s">
        <v>1416</v>
      </c>
      <c r="B1121" s="46"/>
      <c r="C1121" s="46"/>
      <c r="D1121" s="46"/>
      <c r="E1121" s="46"/>
      <c r="F1121" s="46"/>
      <c r="G1121" s="46"/>
      <c r="H1121" s="46"/>
      <c r="I1121" s="46"/>
      <c r="J1121" s="46"/>
      <c r="K1121" s="46"/>
      <c r="L1121" s="46"/>
      <c r="M1121" s="46" t="str">
        <f aca="false">IF(OR(B1121="",I1121=""),"",IFERROR(INDEX('Comment flow'!$C$40:$C$46,MATCH(I1121,'Comment flow'!$A$40:$A$46,0)),""))</f>
        <v/>
      </c>
      <c r="N1121" s="46" t="str">
        <f aca="false">IF(B1121="","",IF(OR(I1121="",I1121="Open: needs a decision",L1121=""),"Open","Closed"))</f>
        <v/>
      </c>
      <c r="O1121" s="46"/>
      <c r="P1121" s="46" t="str">
        <f aca="false">IF(OR(B1121="",I1121&lt;&gt;"Save for a later revision"),"",IF(COUNTIF('Deferred edits'!$K$2:$K$201,A1121)&gt;0,"Yes","● Add to Deferred edits"))</f>
        <v/>
      </c>
    </row>
    <row r="1122" customFormat="false" ht="15" hidden="false" customHeight="false" outlineLevel="0" collapsed="false">
      <c r="A1122" s="46" t="s">
        <v>1417</v>
      </c>
      <c r="B1122" s="46"/>
      <c r="C1122" s="46"/>
      <c r="D1122" s="46"/>
      <c r="E1122" s="46"/>
      <c r="F1122" s="46"/>
      <c r="G1122" s="46"/>
      <c r="H1122" s="46"/>
      <c r="I1122" s="46"/>
      <c r="J1122" s="46"/>
      <c r="K1122" s="46"/>
      <c r="L1122" s="46"/>
      <c r="M1122" s="46" t="str">
        <f aca="false">IF(OR(B1122="",I1122=""),"",IFERROR(INDEX('Comment flow'!$C$40:$C$46,MATCH(I1122,'Comment flow'!$A$40:$A$46,0)),""))</f>
        <v/>
      </c>
      <c r="N1122" s="46" t="str">
        <f aca="false">IF(B1122="","",IF(OR(I1122="",I1122="Open: needs a decision",L1122=""),"Open","Closed"))</f>
        <v/>
      </c>
      <c r="O1122" s="46"/>
      <c r="P1122" s="46" t="str">
        <f aca="false">IF(OR(B1122="",I1122&lt;&gt;"Save for a later revision"),"",IF(COUNTIF('Deferred edits'!$K$2:$K$201,A1122)&gt;0,"Yes","● Add to Deferred edits"))</f>
        <v/>
      </c>
    </row>
    <row r="1123" customFormat="false" ht="15" hidden="false" customHeight="false" outlineLevel="0" collapsed="false">
      <c r="A1123" s="46" t="s">
        <v>1418</v>
      </c>
      <c r="B1123" s="46"/>
      <c r="C1123" s="46"/>
      <c r="D1123" s="46"/>
      <c r="E1123" s="46"/>
      <c r="F1123" s="46"/>
      <c r="G1123" s="46"/>
      <c r="H1123" s="46"/>
      <c r="I1123" s="46"/>
      <c r="J1123" s="46"/>
      <c r="K1123" s="46"/>
      <c r="L1123" s="46"/>
      <c r="M1123" s="46" t="str">
        <f aca="false">IF(OR(B1123="",I1123=""),"",IFERROR(INDEX('Comment flow'!$C$40:$C$46,MATCH(I1123,'Comment flow'!$A$40:$A$46,0)),""))</f>
        <v/>
      </c>
      <c r="N1123" s="46" t="str">
        <f aca="false">IF(B1123="","",IF(OR(I1123="",I1123="Open: needs a decision",L1123=""),"Open","Closed"))</f>
        <v/>
      </c>
      <c r="O1123" s="46"/>
      <c r="P1123" s="46" t="str">
        <f aca="false">IF(OR(B1123="",I1123&lt;&gt;"Save for a later revision"),"",IF(COUNTIF('Deferred edits'!$K$2:$K$201,A1123)&gt;0,"Yes","● Add to Deferred edits"))</f>
        <v/>
      </c>
    </row>
    <row r="1124" customFormat="false" ht="15" hidden="false" customHeight="false" outlineLevel="0" collapsed="false">
      <c r="A1124" s="46" t="s">
        <v>1419</v>
      </c>
      <c r="B1124" s="46"/>
      <c r="C1124" s="46"/>
      <c r="D1124" s="46"/>
      <c r="E1124" s="46"/>
      <c r="F1124" s="46"/>
      <c r="G1124" s="46"/>
      <c r="H1124" s="46"/>
      <c r="I1124" s="46"/>
      <c r="J1124" s="46"/>
      <c r="K1124" s="46"/>
      <c r="L1124" s="46"/>
      <c r="M1124" s="46" t="str">
        <f aca="false">IF(OR(B1124="",I1124=""),"",IFERROR(INDEX('Comment flow'!$C$40:$C$46,MATCH(I1124,'Comment flow'!$A$40:$A$46,0)),""))</f>
        <v/>
      </c>
      <c r="N1124" s="46" t="str">
        <f aca="false">IF(B1124="","",IF(OR(I1124="",I1124="Open: needs a decision",L1124=""),"Open","Closed"))</f>
        <v/>
      </c>
      <c r="O1124" s="46"/>
      <c r="P1124" s="46" t="str">
        <f aca="false">IF(OR(B1124="",I1124&lt;&gt;"Save for a later revision"),"",IF(COUNTIF('Deferred edits'!$K$2:$K$201,A1124)&gt;0,"Yes","● Add to Deferred edits"))</f>
        <v/>
      </c>
    </row>
    <row r="1125" customFormat="false" ht="15" hidden="false" customHeight="false" outlineLevel="0" collapsed="false">
      <c r="A1125" s="46" t="s">
        <v>1420</v>
      </c>
      <c r="B1125" s="46"/>
      <c r="C1125" s="46"/>
      <c r="D1125" s="46"/>
      <c r="E1125" s="46"/>
      <c r="F1125" s="46"/>
      <c r="G1125" s="46"/>
      <c r="H1125" s="46"/>
      <c r="I1125" s="46"/>
      <c r="J1125" s="46"/>
      <c r="K1125" s="46"/>
      <c r="L1125" s="46"/>
      <c r="M1125" s="46" t="str">
        <f aca="false">IF(OR(B1125="",I1125=""),"",IFERROR(INDEX('Comment flow'!$C$40:$C$46,MATCH(I1125,'Comment flow'!$A$40:$A$46,0)),""))</f>
        <v/>
      </c>
      <c r="N1125" s="46" t="str">
        <f aca="false">IF(B1125="","",IF(OR(I1125="",I1125="Open: needs a decision",L1125=""),"Open","Closed"))</f>
        <v/>
      </c>
      <c r="O1125" s="46"/>
      <c r="P1125" s="46" t="str">
        <f aca="false">IF(OR(B1125="",I1125&lt;&gt;"Save for a later revision"),"",IF(COUNTIF('Deferred edits'!$K$2:$K$201,A1125)&gt;0,"Yes","● Add to Deferred edits"))</f>
        <v/>
      </c>
    </row>
    <row r="1126" customFormat="false" ht="15" hidden="false" customHeight="false" outlineLevel="0" collapsed="false">
      <c r="A1126" s="46" t="s">
        <v>1421</v>
      </c>
      <c r="B1126" s="46"/>
      <c r="C1126" s="46"/>
      <c r="D1126" s="46"/>
      <c r="E1126" s="46"/>
      <c r="F1126" s="46"/>
      <c r="G1126" s="46"/>
      <c r="H1126" s="46"/>
      <c r="I1126" s="46"/>
      <c r="J1126" s="46"/>
      <c r="K1126" s="46"/>
      <c r="L1126" s="46"/>
      <c r="M1126" s="46" t="str">
        <f aca="false">IF(OR(B1126="",I1126=""),"",IFERROR(INDEX('Comment flow'!$C$40:$C$46,MATCH(I1126,'Comment flow'!$A$40:$A$46,0)),""))</f>
        <v/>
      </c>
      <c r="N1126" s="46" t="str">
        <f aca="false">IF(B1126="","",IF(OR(I1126="",I1126="Open: needs a decision",L1126=""),"Open","Closed"))</f>
        <v/>
      </c>
      <c r="O1126" s="46"/>
      <c r="P1126" s="46" t="str">
        <f aca="false">IF(OR(B1126="",I1126&lt;&gt;"Save for a later revision"),"",IF(COUNTIF('Deferred edits'!$K$2:$K$201,A1126)&gt;0,"Yes","● Add to Deferred edits"))</f>
        <v/>
      </c>
    </row>
    <row r="1127" customFormat="false" ht="15" hidden="false" customHeight="false" outlineLevel="0" collapsed="false">
      <c r="A1127" s="46" t="s">
        <v>1422</v>
      </c>
      <c r="B1127" s="46"/>
      <c r="C1127" s="46"/>
      <c r="D1127" s="46"/>
      <c r="E1127" s="46"/>
      <c r="F1127" s="46"/>
      <c r="G1127" s="46"/>
      <c r="H1127" s="46"/>
      <c r="I1127" s="46"/>
      <c r="J1127" s="46"/>
      <c r="K1127" s="46"/>
      <c r="L1127" s="46"/>
      <c r="M1127" s="46" t="str">
        <f aca="false">IF(OR(B1127="",I1127=""),"",IFERROR(INDEX('Comment flow'!$C$40:$C$46,MATCH(I1127,'Comment flow'!$A$40:$A$46,0)),""))</f>
        <v/>
      </c>
      <c r="N1127" s="46" t="str">
        <f aca="false">IF(B1127="","",IF(OR(I1127="",I1127="Open: needs a decision",L1127=""),"Open","Closed"))</f>
        <v/>
      </c>
      <c r="O1127" s="46"/>
      <c r="P1127" s="46" t="str">
        <f aca="false">IF(OR(B1127="",I1127&lt;&gt;"Save for a later revision"),"",IF(COUNTIF('Deferred edits'!$K$2:$K$201,A1127)&gt;0,"Yes","● Add to Deferred edits"))</f>
        <v/>
      </c>
    </row>
    <row r="1128" customFormat="false" ht="15" hidden="false" customHeight="false" outlineLevel="0" collapsed="false">
      <c r="A1128" s="46" t="s">
        <v>1423</v>
      </c>
      <c r="B1128" s="46"/>
      <c r="C1128" s="46"/>
      <c r="D1128" s="46"/>
      <c r="E1128" s="46"/>
      <c r="F1128" s="46"/>
      <c r="G1128" s="46"/>
      <c r="H1128" s="46"/>
      <c r="I1128" s="46"/>
      <c r="J1128" s="46"/>
      <c r="K1128" s="46"/>
      <c r="L1128" s="46"/>
      <c r="M1128" s="46" t="str">
        <f aca="false">IF(OR(B1128="",I1128=""),"",IFERROR(INDEX('Comment flow'!$C$40:$C$46,MATCH(I1128,'Comment flow'!$A$40:$A$46,0)),""))</f>
        <v/>
      </c>
      <c r="N1128" s="46" t="str">
        <f aca="false">IF(B1128="","",IF(OR(I1128="",I1128="Open: needs a decision",L1128=""),"Open","Closed"))</f>
        <v/>
      </c>
      <c r="O1128" s="46"/>
      <c r="P1128" s="46" t="str">
        <f aca="false">IF(OR(B1128="",I1128&lt;&gt;"Save for a later revision"),"",IF(COUNTIF('Deferred edits'!$K$2:$K$201,A1128)&gt;0,"Yes","● Add to Deferred edits"))</f>
        <v/>
      </c>
    </row>
    <row r="1129" customFormat="false" ht="15" hidden="false" customHeight="false" outlineLevel="0" collapsed="false">
      <c r="A1129" s="46" t="s">
        <v>1424</v>
      </c>
      <c r="B1129" s="46"/>
      <c r="C1129" s="46"/>
      <c r="D1129" s="46"/>
      <c r="E1129" s="46"/>
      <c r="F1129" s="46"/>
      <c r="G1129" s="46"/>
      <c r="H1129" s="46"/>
      <c r="I1129" s="46"/>
      <c r="J1129" s="46"/>
      <c r="K1129" s="46"/>
      <c r="L1129" s="46"/>
      <c r="M1129" s="46" t="str">
        <f aca="false">IF(OR(B1129="",I1129=""),"",IFERROR(INDEX('Comment flow'!$C$40:$C$46,MATCH(I1129,'Comment flow'!$A$40:$A$46,0)),""))</f>
        <v/>
      </c>
      <c r="N1129" s="46" t="str">
        <f aca="false">IF(B1129="","",IF(OR(I1129="",I1129="Open: needs a decision",L1129=""),"Open","Closed"))</f>
        <v/>
      </c>
      <c r="O1129" s="46"/>
      <c r="P1129" s="46" t="str">
        <f aca="false">IF(OR(B1129="",I1129&lt;&gt;"Save for a later revision"),"",IF(COUNTIF('Deferred edits'!$K$2:$K$201,A1129)&gt;0,"Yes","● Add to Deferred edits"))</f>
        <v/>
      </c>
    </row>
    <row r="1130" customFormat="false" ht="15" hidden="false" customHeight="false" outlineLevel="0" collapsed="false">
      <c r="A1130" s="46" t="s">
        <v>1425</v>
      </c>
      <c r="B1130" s="46"/>
      <c r="C1130" s="46"/>
      <c r="D1130" s="46"/>
      <c r="E1130" s="46"/>
      <c r="F1130" s="46"/>
      <c r="G1130" s="46"/>
      <c r="H1130" s="46"/>
      <c r="I1130" s="46"/>
      <c r="J1130" s="46"/>
      <c r="K1130" s="46"/>
      <c r="L1130" s="46"/>
      <c r="M1130" s="46" t="str">
        <f aca="false">IF(OR(B1130="",I1130=""),"",IFERROR(INDEX('Comment flow'!$C$40:$C$46,MATCH(I1130,'Comment flow'!$A$40:$A$46,0)),""))</f>
        <v/>
      </c>
      <c r="N1130" s="46" t="str">
        <f aca="false">IF(B1130="","",IF(OR(I1130="",I1130="Open: needs a decision",L1130=""),"Open","Closed"))</f>
        <v/>
      </c>
      <c r="O1130" s="46"/>
      <c r="P1130" s="46" t="str">
        <f aca="false">IF(OR(B1130="",I1130&lt;&gt;"Save for a later revision"),"",IF(COUNTIF('Deferred edits'!$K$2:$K$201,A1130)&gt;0,"Yes","● Add to Deferred edits"))</f>
        <v/>
      </c>
    </row>
    <row r="1131" customFormat="false" ht="15" hidden="false" customHeight="false" outlineLevel="0" collapsed="false">
      <c r="A1131" s="46" t="s">
        <v>1426</v>
      </c>
      <c r="B1131" s="46"/>
      <c r="C1131" s="46"/>
      <c r="D1131" s="46"/>
      <c r="E1131" s="46"/>
      <c r="F1131" s="46"/>
      <c r="G1131" s="46"/>
      <c r="H1131" s="46"/>
      <c r="I1131" s="46"/>
      <c r="J1131" s="46"/>
      <c r="K1131" s="46"/>
      <c r="L1131" s="46"/>
      <c r="M1131" s="46" t="str">
        <f aca="false">IF(OR(B1131="",I1131=""),"",IFERROR(INDEX('Comment flow'!$C$40:$C$46,MATCH(I1131,'Comment flow'!$A$40:$A$46,0)),""))</f>
        <v/>
      </c>
      <c r="N1131" s="46" t="str">
        <f aca="false">IF(B1131="","",IF(OR(I1131="",I1131="Open: needs a decision",L1131=""),"Open","Closed"))</f>
        <v/>
      </c>
      <c r="O1131" s="46"/>
      <c r="P1131" s="46" t="str">
        <f aca="false">IF(OR(B1131="",I1131&lt;&gt;"Save for a later revision"),"",IF(COUNTIF('Deferred edits'!$K$2:$K$201,A1131)&gt;0,"Yes","● Add to Deferred edits"))</f>
        <v/>
      </c>
    </row>
    <row r="1132" customFormat="false" ht="15" hidden="false" customHeight="false" outlineLevel="0" collapsed="false">
      <c r="A1132" s="46" t="s">
        <v>1427</v>
      </c>
      <c r="B1132" s="46"/>
      <c r="C1132" s="46"/>
      <c r="D1132" s="46"/>
      <c r="E1132" s="46"/>
      <c r="F1132" s="46"/>
      <c r="G1132" s="46"/>
      <c r="H1132" s="46"/>
      <c r="I1132" s="46"/>
      <c r="J1132" s="46"/>
      <c r="K1132" s="46"/>
      <c r="L1132" s="46"/>
      <c r="M1132" s="46" t="str">
        <f aca="false">IF(OR(B1132="",I1132=""),"",IFERROR(INDEX('Comment flow'!$C$40:$C$46,MATCH(I1132,'Comment flow'!$A$40:$A$46,0)),""))</f>
        <v/>
      </c>
      <c r="N1132" s="46" t="str">
        <f aca="false">IF(B1132="","",IF(OR(I1132="",I1132="Open: needs a decision",L1132=""),"Open","Closed"))</f>
        <v/>
      </c>
      <c r="O1132" s="46"/>
      <c r="P1132" s="46" t="str">
        <f aca="false">IF(OR(B1132="",I1132&lt;&gt;"Save for a later revision"),"",IF(COUNTIF('Deferred edits'!$K$2:$K$201,A1132)&gt;0,"Yes","● Add to Deferred edits"))</f>
        <v/>
      </c>
    </row>
    <row r="1133" customFormat="false" ht="15" hidden="false" customHeight="false" outlineLevel="0" collapsed="false">
      <c r="A1133" s="46" t="s">
        <v>1428</v>
      </c>
      <c r="B1133" s="46"/>
      <c r="C1133" s="46"/>
      <c r="D1133" s="46"/>
      <c r="E1133" s="46"/>
      <c r="F1133" s="46"/>
      <c r="G1133" s="46"/>
      <c r="H1133" s="46"/>
      <c r="I1133" s="46"/>
      <c r="J1133" s="46"/>
      <c r="K1133" s="46"/>
      <c r="L1133" s="46"/>
      <c r="M1133" s="46" t="str">
        <f aca="false">IF(OR(B1133="",I1133=""),"",IFERROR(INDEX('Comment flow'!$C$40:$C$46,MATCH(I1133,'Comment flow'!$A$40:$A$46,0)),""))</f>
        <v/>
      </c>
      <c r="N1133" s="46" t="str">
        <f aca="false">IF(B1133="","",IF(OR(I1133="",I1133="Open: needs a decision",L1133=""),"Open","Closed"))</f>
        <v/>
      </c>
      <c r="O1133" s="46"/>
      <c r="P1133" s="46" t="str">
        <f aca="false">IF(OR(B1133="",I1133&lt;&gt;"Save for a later revision"),"",IF(COUNTIF('Deferred edits'!$K$2:$K$201,A1133)&gt;0,"Yes","● Add to Deferred edits"))</f>
        <v/>
      </c>
    </row>
    <row r="1134" customFormat="false" ht="15" hidden="false" customHeight="false" outlineLevel="0" collapsed="false">
      <c r="A1134" s="46" t="s">
        <v>1429</v>
      </c>
      <c r="B1134" s="46"/>
      <c r="C1134" s="46"/>
      <c r="D1134" s="46"/>
      <c r="E1134" s="46"/>
      <c r="F1134" s="46"/>
      <c r="G1134" s="46"/>
      <c r="H1134" s="46"/>
      <c r="I1134" s="46"/>
      <c r="J1134" s="46"/>
      <c r="K1134" s="46"/>
      <c r="L1134" s="46"/>
      <c r="M1134" s="46" t="str">
        <f aca="false">IF(OR(B1134="",I1134=""),"",IFERROR(INDEX('Comment flow'!$C$40:$C$46,MATCH(I1134,'Comment flow'!$A$40:$A$46,0)),""))</f>
        <v/>
      </c>
      <c r="N1134" s="46" t="str">
        <f aca="false">IF(B1134="","",IF(OR(I1134="",I1134="Open: needs a decision",L1134=""),"Open","Closed"))</f>
        <v/>
      </c>
      <c r="O1134" s="46"/>
      <c r="P1134" s="46" t="str">
        <f aca="false">IF(OR(B1134="",I1134&lt;&gt;"Save for a later revision"),"",IF(COUNTIF('Deferred edits'!$K$2:$K$201,A1134)&gt;0,"Yes","● Add to Deferred edits"))</f>
        <v/>
      </c>
    </row>
    <row r="1135" customFormat="false" ht="15" hidden="false" customHeight="false" outlineLevel="0" collapsed="false">
      <c r="A1135" s="46" t="s">
        <v>1430</v>
      </c>
      <c r="B1135" s="46"/>
      <c r="C1135" s="46"/>
      <c r="D1135" s="46"/>
      <c r="E1135" s="46"/>
      <c r="F1135" s="46"/>
      <c r="G1135" s="46"/>
      <c r="H1135" s="46"/>
      <c r="I1135" s="46"/>
      <c r="J1135" s="46"/>
      <c r="K1135" s="46"/>
      <c r="L1135" s="46"/>
      <c r="M1135" s="46" t="str">
        <f aca="false">IF(OR(B1135="",I1135=""),"",IFERROR(INDEX('Comment flow'!$C$40:$C$46,MATCH(I1135,'Comment flow'!$A$40:$A$46,0)),""))</f>
        <v/>
      </c>
      <c r="N1135" s="46" t="str">
        <f aca="false">IF(B1135="","",IF(OR(I1135="",I1135="Open: needs a decision",L1135=""),"Open","Closed"))</f>
        <v/>
      </c>
      <c r="O1135" s="46"/>
      <c r="P1135" s="46" t="str">
        <f aca="false">IF(OR(B1135="",I1135&lt;&gt;"Save for a later revision"),"",IF(COUNTIF('Deferred edits'!$K$2:$K$201,A1135)&gt;0,"Yes","● Add to Deferred edits"))</f>
        <v/>
      </c>
    </row>
    <row r="1136" customFormat="false" ht="15" hidden="false" customHeight="false" outlineLevel="0" collapsed="false">
      <c r="A1136" s="46" t="s">
        <v>1431</v>
      </c>
      <c r="B1136" s="46"/>
      <c r="C1136" s="46"/>
      <c r="D1136" s="46"/>
      <c r="E1136" s="46"/>
      <c r="F1136" s="46"/>
      <c r="G1136" s="46"/>
      <c r="H1136" s="46"/>
      <c r="I1136" s="46"/>
      <c r="J1136" s="46"/>
      <c r="K1136" s="46"/>
      <c r="L1136" s="46"/>
      <c r="M1136" s="46" t="str">
        <f aca="false">IF(OR(B1136="",I1136=""),"",IFERROR(INDEX('Comment flow'!$C$40:$C$46,MATCH(I1136,'Comment flow'!$A$40:$A$46,0)),""))</f>
        <v/>
      </c>
      <c r="N1136" s="46" t="str">
        <f aca="false">IF(B1136="","",IF(OR(I1136="",I1136="Open: needs a decision",L1136=""),"Open","Closed"))</f>
        <v/>
      </c>
      <c r="O1136" s="46"/>
      <c r="P1136" s="46" t="str">
        <f aca="false">IF(OR(B1136="",I1136&lt;&gt;"Save for a later revision"),"",IF(COUNTIF('Deferred edits'!$K$2:$K$201,A1136)&gt;0,"Yes","● Add to Deferred edits"))</f>
        <v/>
      </c>
    </row>
    <row r="1137" customFormat="false" ht="15" hidden="false" customHeight="false" outlineLevel="0" collapsed="false">
      <c r="A1137" s="46" t="s">
        <v>1432</v>
      </c>
      <c r="B1137" s="46"/>
      <c r="C1137" s="46"/>
      <c r="D1137" s="46"/>
      <c r="E1137" s="46"/>
      <c r="F1137" s="46"/>
      <c r="G1137" s="46"/>
      <c r="H1137" s="46"/>
      <c r="I1137" s="46"/>
      <c r="J1137" s="46"/>
      <c r="K1137" s="46"/>
      <c r="L1137" s="46"/>
      <c r="M1137" s="46" t="str">
        <f aca="false">IF(OR(B1137="",I1137=""),"",IFERROR(INDEX('Comment flow'!$C$40:$C$46,MATCH(I1137,'Comment flow'!$A$40:$A$46,0)),""))</f>
        <v/>
      </c>
      <c r="N1137" s="46" t="str">
        <f aca="false">IF(B1137="","",IF(OR(I1137="",I1137="Open: needs a decision",L1137=""),"Open","Closed"))</f>
        <v/>
      </c>
      <c r="O1137" s="46"/>
      <c r="P1137" s="46" t="str">
        <f aca="false">IF(OR(B1137="",I1137&lt;&gt;"Save for a later revision"),"",IF(COUNTIF('Deferred edits'!$K$2:$K$201,A1137)&gt;0,"Yes","● Add to Deferred edits"))</f>
        <v/>
      </c>
    </row>
    <row r="1138" customFormat="false" ht="15" hidden="false" customHeight="false" outlineLevel="0" collapsed="false">
      <c r="A1138" s="46" t="s">
        <v>1433</v>
      </c>
      <c r="B1138" s="46"/>
      <c r="C1138" s="46"/>
      <c r="D1138" s="46"/>
      <c r="E1138" s="46"/>
      <c r="F1138" s="46"/>
      <c r="G1138" s="46"/>
      <c r="H1138" s="46"/>
      <c r="I1138" s="46"/>
      <c r="J1138" s="46"/>
      <c r="K1138" s="46"/>
      <c r="L1138" s="46"/>
      <c r="M1138" s="46" t="str">
        <f aca="false">IF(OR(B1138="",I1138=""),"",IFERROR(INDEX('Comment flow'!$C$40:$C$46,MATCH(I1138,'Comment flow'!$A$40:$A$46,0)),""))</f>
        <v/>
      </c>
      <c r="N1138" s="46" t="str">
        <f aca="false">IF(B1138="","",IF(OR(I1138="",I1138="Open: needs a decision",L1138=""),"Open","Closed"))</f>
        <v/>
      </c>
      <c r="O1138" s="46"/>
      <c r="P1138" s="46" t="str">
        <f aca="false">IF(OR(B1138="",I1138&lt;&gt;"Save for a later revision"),"",IF(COUNTIF('Deferred edits'!$K$2:$K$201,A1138)&gt;0,"Yes","● Add to Deferred edits"))</f>
        <v/>
      </c>
    </row>
    <row r="1139" customFormat="false" ht="15" hidden="false" customHeight="false" outlineLevel="0" collapsed="false">
      <c r="A1139" s="46" t="s">
        <v>1434</v>
      </c>
      <c r="B1139" s="46"/>
      <c r="C1139" s="46"/>
      <c r="D1139" s="46"/>
      <c r="E1139" s="46"/>
      <c r="F1139" s="46"/>
      <c r="G1139" s="46"/>
      <c r="H1139" s="46"/>
      <c r="I1139" s="46"/>
      <c r="J1139" s="46"/>
      <c r="K1139" s="46"/>
      <c r="L1139" s="46"/>
      <c r="M1139" s="46" t="str">
        <f aca="false">IF(OR(B1139="",I1139=""),"",IFERROR(INDEX('Comment flow'!$C$40:$C$46,MATCH(I1139,'Comment flow'!$A$40:$A$46,0)),""))</f>
        <v/>
      </c>
      <c r="N1139" s="46" t="str">
        <f aca="false">IF(B1139="","",IF(OR(I1139="",I1139="Open: needs a decision",L1139=""),"Open","Closed"))</f>
        <v/>
      </c>
      <c r="O1139" s="46"/>
      <c r="P1139" s="46" t="str">
        <f aca="false">IF(OR(B1139="",I1139&lt;&gt;"Save for a later revision"),"",IF(COUNTIF('Deferred edits'!$K$2:$K$201,A1139)&gt;0,"Yes","● Add to Deferred edits"))</f>
        <v/>
      </c>
    </row>
    <row r="1140" customFormat="false" ht="15" hidden="false" customHeight="false" outlineLevel="0" collapsed="false">
      <c r="A1140" s="46" t="s">
        <v>1435</v>
      </c>
      <c r="B1140" s="46"/>
      <c r="C1140" s="46"/>
      <c r="D1140" s="46"/>
      <c r="E1140" s="46"/>
      <c r="F1140" s="46"/>
      <c r="G1140" s="46"/>
      <c r="H1140" s="46"/>
      <c r="I1140" s="46"/>
      <c r="J1140" s="46"/>
      <c r="K1140" s="46"/>
      <c r="L1140" s="46"/>
      <c r="M1140" s="46" t="str">
        <f aca="false">IF(OR(B1140="",I1140=""),"",IFERROR(INDEX('Comment flow'!$C$40:$C$46,MATCH(I1140,'Comment flow'!$A$40:$A$46,0)),""))</f>
        <v/>
      </c>
      <c r="N1140" s="46" t="str">
        <f aca="false">IF(B1140="","",IF(OR(I1140="",I1140="Open: needs a decision",L1140=""),"Open","Closed"))</f>
        <v/>
      </c>
      <c r="O1140" s="46"/>
      <c r="P1140" s="46" t="str">
        <f aca="false">IF(OR(B1140="",I1140&lt;&gt;"Save for a later revision"),"",IF(COUNTIF('Deferred edits'!$K$2:$K$201,A1140)&gt;0,"Yes","● Add to Deferred edits"))</f>
        <v/>
      </c>
    </row>
    <row r="1141" customFormat="false" ht="15" hidden="false" customHeight="false" outlineLevel="0" collapsed="false">
      <c r="A1141" s="46" t="s">
        <v>1436</v>
      </c>
      <c r="B1141" s="46"/>
      <c r="C1141" s="46"/>
      <c r="D1141" s="46"/>
      <c r="E1141" s="46"/>
      <c r="F1141" s="46"/>
      <c r="G1141" s="46"/>
      <c r="H1141" s="46"/>
      <c r="I1141" s="46"/>
      <c r="J1141" s="46"/>
      <c r="K1141" s="46"/>
      <c r="L1141" s="46"/>
      <c r="M1141" s="46" t="str">
        <f aca="false">IF(OR(B1141="",I1141=""),"",IFERROR(INDEX('Comment flow'!$C$40:$C$46,MATCH(I1141,'Comment flow'!$A$40:$A$46,0)),""))</f>
        <v/>
      </c>
      <c r="N1141" s="46" t="str">
        <f aca="false">IF(B1141="","",IF(OR(I1141="",I1141="Open: needs a decision",L1141=""),"Open","Closed"))</f>
        <v/>
      </c>
      <c r="O1141" s="46"/>
      <c r="P1141" s="46" t="str">
        <f aca="false">IF(OR(B1141="",I1141&lt;&gt;"Save for a later revision"),"",IF(COUNTIF('Deferred edits'!$K$2:$K$201,A1141)&gt;0,"Yes","● Add to Deferred edits"))</f>
        <v/>
      </c>
    </row>
    <row r="1142" customFormat="false" ht="15" hidden="false" customHeight="false" outlineLevel="0" collapsed="false">
      <c r="A1142" s="46" t="s">
        <v>1437</v>
      </c>
      <c r="B1142" s="46"/>
      <c r="C1142" s="46"/>
      <c r="D1142" s="46"/>
      <c r="E1142" s="46"/>
      <c r="F1142" s="46"/>
      <c r="G1142" s="46"/>
      <c r="H1142" s="46"/>
      <c r="I1142" s="46"/>
      <c r="J1142" s="46"/>
      <c r="K1142" s="46"/>
      <c r="L1142" s="46"/>
      <c r="M1142" s="46" t="str">
        <f aca="false">IF(OR(B1142="",I1142=""),"",IFERROR(INDEX('Comment flow'!$C$40:$C$46,MATCH(I1142,'Comment flow'!$A$40:$A$46,0)),""))</f>
        <v/>
      </c>
      <c r="N1142" s="46" t="str">
        <f aca="false">IF(B1142="","",IF(OR(I1142="",I1142="Open: needs a decision",L1142=""),"Open","Closed"))</f>
        <v/>
      </c>
      <c r="O1142" s="46"/>
      <c r="P1142" s="46" t="str">
        <f aca="false">IF(OR(B1142="",I1142&lt;&gt;"Save for a later revision"),"",IF(COUNTIF('Deferred edits'!$K$2:$K$201,A1142)&gt;0,"Yes","● Add to Deferred edits"))</f>
        <v/>
      </c>
    </row>
    <row r="1143" customFormat="false" ht="15" hidden="false" customHeight="false" outlineLevel="0" collapsed="false">
      <c r="A1143" s="46" t="s">
        <v>1438</v>
      </c>
      <c r="B1143" s="46"/>
      <c r="C1143" s="46"/>
      <c r="D1143" s="46"/>
      <c r="E1143" s="46"/>
      <c r="F1143" s="46"/>
      <c r="G1143" s="46"/>
      <c r="H1143" s="46"/>
      <c r="I1143" s="46"/>
      <c r="J1143" s="46"/>
      <c r="K1143" s="46"/>
      <c r="L1143" s="46"/>
      <c r="M1143" s="46" t="str">
        <f aca="false">IF(OR(B1143="",I1143=""),"",IFERROR(INDEX('Comment flow'!$C$40:$C$46,MATCH(I1143,'Comment flow'!$A$40:$A$46,0)),""))</f>
        <v/>
      </c>
      <c r="N1143" s="46" t="str">
        <f aca="false">IF(B1143="","",IF(OR(I1143="",I1143="Open: needs a decision",L1143=""),"Open","Closed"))</f>
        <v/>
      </c>
      <c r="O1143" s="46"/>
      <c r="P1143" s="46" t="str">
        <f aca="false">IF(OR(B1143="",I1143&lt;&gt;"Save for a later revision"),"",IF(COUNTIF('Deferred edits'!$K$2:$K$201,A1143)&gt;0,"Yes","● Add to Deferred edits"))</f>
        <v/>
      </c>
    </row>
    <row r="1144" customFormat="false" ht="15" hidden="false" customHeight="false" outlineLevel="0" collapsed="false">
      <c r="A1144" s="46" t="s">
        <v>1439</v>
      </c>
      <c r="B1144" s="46"/>
      <c r="C1144" s="46"/>
      <c r="D1144" s="46"/>
      <c r="E1144" s="46"/>
      <c r="F1144" s="46"/>
      <c r="G1144" s="46"/>
      <c r="H1144" s="46"/>
      <c r="I1144" s="46"/>
      <c r="J1144" s="46"/>
      <c r="K1144" s="46"/>
      <c r="L1144" s="46"/>
      <c r="M1144" s="46" t="str">
        <f aca="false">IF(OR(B1144="",I1144=""),"",IFERROR(INDEX('Comment flow'!$C$40:$C$46,MATCH(I1144,'Comment flow'!$A$40:$A$46,0)),""))</f>
        <v/>
      </c>
      <c r="N1144" s="46" t="str">
        <f aca="false">IF(B1144="","",IF(OR(I1144="",I1144="Open: needs a decision",L1144=""),"Open","Closed"))</f>
        <v/>
      </c>
      <c r="O1144" s="46"/>
      <c r="P1144" s="46" t="str">
        <f aca="false">IF(OR(B1144="",I1144&lt;&gt;"Save for a later revision"),"",IF(COUNTIF('Deferred edits'!$K$2:$K$201,A1144)&gt;0,"Yes","● Add to Deferred edits"))</f>
        <v/>
      </c>
    </row>
    <row r="1145" customFormat="false" ht="15" hidden="false" customHeight="false" outlineLevel="0" collapsed="false">
      <c r="A1145" s="46" t="s">
        <v>1440</v>
      </c>
      <c r="B1145" s="46"/>
      <c r="C1145" s="46"/>
      <c r="D1145" s="46"/>
      <c r="E1145" s="46"/>
      <c r="F1145" s="46"/>
      <c r="G1145" s="46"/>
      <c r="H1145" s="46"/>
      <c r="I1145" s="46"/>
      <c r="J1145" s="46"/>
      <c r="K1145" s="46"/>
      <c r="L1145" s="46"/>
      <c r="M1145" s="46" t="str">
        <f aca="false">IF(OR(B1145="",I1145=""),"",IFERROR(INDEX('Comment flow'!$C$40:$C$46,MATCH(I1145,'Comment flow'!$A$40:$A$46,0)),""))</f>
        <v/>
      </c>
      <c r="N1145" s="46" t="str">
        <f aca="false">IF(B1145="","",IF(OR(I1145="",I1145="Open: needs a decision",L1145=""),"Open","Closed"))</f>
        <v/>
      </c>
      <c r="O1145" s="46"/>
      <c r="P1145" s="46" t="str">
        <f aca="false">IF(OR(B1145="",I1145&lt;&gt;"Save for a later revision"),"",IF(COUNTIF('Deferred edits'!$K$2:$K$201,A1145)&gt;0,"Yes","● Add to Deferred edits"))</f>
        <v/>
      </c>
    </row>
    <row r="1146" customFormat="false" ht="15" hidden="false" customHeight="false" outlineLevel="0" collapsed="false">
      <c r="A1146" s="46" t="s">
        <v>1441</v>
      </c>
      <c r="B1146" s="46"/>
      <c r="C1146" s="46"/>
      <c r="D1146" s="46"/>
      <c r="E1146" s="46"/>
      <c r="F1146" s="46"/>
      <c r="G1146" s="46"/>
      <c r="H1146" s="46"/>
      <c r="I1146" s="46"/>
      <c r="J1146" s="46"/>
      <c r="K1146" s="46"/>
      <c r="L1146" s="46"/>
      <c r="M1146" s="46" t="str">
        <f aca="false">IF(OR(B1146="",I1146=""),"",IFERROR(INDEX('Comment flow'!$C$40:$C$46,MATCH(I1146,'Comment flow'!$A$40:$A$46,0)),""))</f>
        <v/>
      </c>
      <c r="N1146" s="46" t="str">
        <f aca="false">IF(B1146="","",IF(OR(I1146="",I1146="Open: needs a decision",L1146=""),"Open","Closed"))</f>
        <v/>
      </c>
      <c r="O1146" s="46"/>
      <c r="P1146" s="46" t="str">
        <f aca="false">IF(OR(B1146="",I1146&lt;&gt;"Save for a later revision"),"",IF(COUNTIF('Deferred edits'!$K$2:$K$201,A1146)&gt;0,"Yes","● Add to Deferred edits"))</f>
        <v/>
      </c>
    </row>
    <row r="1147" customFormat="false" ht="15" hidden="false" customHeight="false" outlineLevel="0" collapsed="false">
      <c r="A1147" s="46" t="s">
        <v>1442</v>
      </c>
      <c r="B1147" s="46"/>
      <c r="C1147" s="46"/>
      <c r="D1147" s="46"/>
      <c r="E1147" s="46"/>
      <c r="F1147" s="46"/>
      <c r="G1147" s="46"/>
      <c r="H1147" s="46"/>
      <c r="I1147" s="46"/>
      <c r="J1147" s="46"/>
      <c r="K1147" s="46"/>
      <c r="L1147" s="46"/>
      <c r="M1147" s="46" t="str">
        <f aca="false">IF(OR(B1147="",I1147=""),"",IFERROR(INDEX('Comment flow'!$C$40:$C$46,MATCH(I1147,'Comment flow'!$A$40:$A$46,0)),""))</f>
        <v/>
      </c>
      <c r="N1147" s="46" t="str">
        <f aca="false">IF(B1147="","",IF(OR(I1147="",I1147="Open: needs a decision",L1147=""),"Open","Closed"))</f>
        <v/>
      </c>
      <c r="O1147" s="46"/>
      <c r="P1147" s="46" t="str">
        <f aca="false">IF(OR(B1147="",I1147&lt;&gt;"Save for a later revision"),"",IF(COUNTIF('Deferred edits'!$K$2:$K$201,A1147)&gt;0,"Yes","● Add to Deferred edits"))</f>
        <v/>
      </c>
    </row>
    <row r="1148" customFormat="false" ht="15" hidden="false" customHeight="false" outlineLevel="0" collapsed="false">
      <c r="A1148" s="46" t="s">
        <v>1443</v>
      </c>
      <c r="B1148" s="46"/>
      <c r="C1148" s="46"/>
      <c r="D1148" s="46"/>
      <c r="E1148" s="46"/>
      <c r="F1148" s="46"/>
      <c r="G1148" s="46"/>
      <c r="H1148" s="46"/>
      <c r="I1148" s="46"/>
      <c r="J1148" s="46"/>
      <c r="K1148" s="46"/>
      <c r="L1148" s="46"/>
      <c r="M1148" s="46" t="str">
        <f aca="false">IF(OR(B1148="",I1148=""),"",IFERROR(INDEX('Comment flow'!$C$40:$C$46,MATCH(I1148,'Comment flow'!$A$40:$A$46,0)),""))</f>
        <v/>
      </c>
      <c r="N1148" s="46" t="str">
        <f aca="false">IF(B1148="","",IF(OR(I1148="",I1148="Open: needs a decision",L1148=""),"Open","Closed"))</f>
        <v/>
      </c>
      <c r="O1148" s="46"/>
      <c r="P1148" s="46" t="str">
        <f aca="false">IF(OR(B1148="",I1148&lt;&gt;"Save for a later revision"),"",IF(COUNTIF('Deferred edits'!$K$2:$K$201,A1148)&gt;0,"Yes","● Add to Deferred edits"))</f>
        <v/>
      </c>
    </row>
    <row r="1149" customFormat="false" ht="15" hidden="false" customHeight="false" outlineLevel="0" collapsed="false">
      <c r="A1149" s="46" t="s">
        <v>1444</v>
      </c>
      <c r="B1149" s="46"/>
      <c r="C1149" s="46"/>
      <c r="D1149" s="46"/>
      <c r="E1149" s="46"/>
      <c r="F1149" s="46"/>
      <c r="G1149" s="46"/>
      <c r="H1149" s="46"/>
      <c r="I1149" s="46"/>
      <c r="J1149" s="46"/>
      <c r="K1149" s="46"/>
      <c r="L1149" s="46"/>
      <c r="M1149" s="46" t="str">
        <f aca="false">IF(OR(B1149="",I1149=""),"",IFERROR(INDEX('Comment flow'!$C$40:$C$46,MATCH(I1149,'Comment flow'!$A$40:$A$46,0)),""))</f>
        <v/>
      </c>
      <c r="N1149" s="46" t="str">
        <f aca="false">IF(B1149="","",IF(OR(I1149="",I1149="Open: needs a decision",L1149=""),"Open","Closed"))</f>
        <v/>
      </c>
      <c r="O1149" s="46"/>
      <c r="P1149" s="46" t="str">
        <f aca="false">IF(OR(B1149="",I1149&lt;&gt;"Save for a later revision"),"",IF(COUNTIF('Deferred edits'!$K$2:$K$201,A1149)&gt;0,"Yes","● Add to Deferred edits"))</f>
        <v/>
      </c>
    </row>
    <row r="1150" customFormat="false" ht="15" hidden="false" customHeight="false" outlineLevel="0" collapsed="false">
      <c r="A1150" s="46" t="s">
        <v>1445</v>
      </c>
      <c r="B1150" s="46"/>
      <c r="C1150" s="46"/>
      <c r="D1150" s="46"/>
      <c r="E1150" s="46"/>
      <c r="F1150" s="46"/>
      <c r="G1150" s="46"/>
      <c r="H1150" s="46"/>
      <c r="I1150" s="46"/>
      <c r="J1150" s="46"/>
      <c r="K1150" s="46"/>
      <c r="L1150" s="46"/>
      <c r="M1150" s="46" t="str">
        <f aca="false">IF(OR(B1150="",I1150=""),"",IFERROR(INDEX('Comment flow'!$C$40:$C$46,MATCH(I1150,'Comment flow'!$A$40:$A$46,0)),""))</f>
        <v/>
      </c>
      <c r="N1150" s="46" t="str">
        <f aca="false">IF(B1150="","",IF(OR(I1150="",I1150="Open: needs a decision",L1150=""),"Open","Closed"))</f>
        <v/>
      </c>
      <c r="O1150" s="46"/>
      <c r="P1150" s="46" t="str">
        <f aca="false">IF(OR(B1150="",I1150&lt;&gt;"Save for a later revision"),"",IF(COUNTIF('Deferred edits'!$K$2:$K$201,A1150)&gt;0,"Yes","● Add to Deferred edits"))</f>
        <v/>
      </c>
    </row>
    <row r="1151" customFormat="false" ht="15" hidden="false" customHeight="false" outlineLevel="0" collapsed="false">
      <c r="A1151" s="46" t="s">
        <v>1446</v>
      </c>
      <c r="B1151" s="46"/>
      <c r="C1151" s="46"/>
      <c r="D1151" s="46"/>
      <c r="E1151" s="46"/>
      <c r="F1151" s="46"/>
      <c r="G1151" s="46"/>
      <c r="H1151" s="46"/>
      <c r="I1151" s="46"/>
      <c r="J1151" s="46"/>
      <c r="K1151" s="46"/>
      <c r="L1151" s="46"/>
      <c r="M1151" s="46" t="str">
        <f aca="false">IF(OR(B1151="",I1151=""),"",IFERROR(INDEX('Comment flow'!$C$40:$C$46,MATCH(I1151,'Comment flow'!$A$40:$A$46,0)),""))</f>
        <v/>
      </c>
      <c r="N1151" s="46" t="str">
        <f aca="false">IF(B1151="","",IF(OR(I1151="",I1151="Open: needs a decision",L1151=""),"Open","Closed"))</f>
        <v/>
      </c>
      <c r="O1151" s="46"/>
      <c r="P1151" s="46" t="str">
        <f aca="false">IF(OR(B1151="",I1151&lt;&gt;"Save for a later revision"),"",IF(COUNTIF('Deferred edits'!$K$2:$K$201,A1151)&gt;0,"Yes","● Add to Deferred edits"))</f>
        <v/>
      </c>
    </row>
    <row r="1152" customFormat="false" ht="15" hidden="false" customHeight="false" outlineLevel="0" collapsed="false">
      <c r="A1152" s="46" t="s">
        <v>1447</v>
      </c>
      <c r="B1152" s="46"/>
      <c r="C1152" s="46"/>
      <c r="D1152" s="46"/>
      <c r="E1152" s="46"/>
      <c r="F1152" s="46"/>
      <c r="G1152" s="46"/>
      <c r="H1152" s="46"/>
      <c r="I1152" s="46"/>
      <c r="J1152" s="46"/>
      <c r="K1152" s="46"/>
      <c r="L1152" s="46"/>
      <c r="M1152" s="46" t="str">
        <f aca="false">IF(OR(B1152="",I1152=""),"",IFERROR(INDEX('Comment flow'!$C$40:$C$46,MATCH(I1152,'Comment flow'!$A$40:$A$46,0)),""))</f>
        <v/>
      </c>
      <c r="N1152" s="46" t="str">
        <f aca="false">IF(B1152="","",IF(OR(I1152="",I1152="Open: needs a decision",L1152=""),"Open","Closed"))</f>
        <v/>
      </c>
      <c r="O1152" s="46"/>
      <c r="P1152" s="46" t="str">
        <f aca="false">IF(OR(B1152="",I1152&lt;&gt;"Save for a later revision"),"",IF(COUNTIF('Deferred edits'!$K$2:$K$201,A1152)&gt;0,"Yes","● Add to Deferred edits"))</f>
        <v/>
      </c>
    </row>
    <row r="1153" customFormat="false" ht="15" hidden="false" customHeight="false" outlineLevel="0" collapsed="false">
      <c r="A1153" s="46" t="s">
        <v>1448</v>
      </c>
      <c r="B1153" s="46"/>
      <c r="C1153" s="46"/>
      <c r="D1153" s="46"/>
      <c r="E1153" s="46"/>
      <c r="F1153" s="46"/>
      <c r="G1153" s="46"/>
      <c r="H1153" s="46"/>
      <c r="I1153" s="46"/>
      <c r="J1153" s="46"/>
      <c r="K1153" s="46"/>
      <c r="L1153" s="46"/>
      <c r="M1153" s="46" t="str">
        <f aca="false">IF(OR(B1153="",I1153=""),"",IFERROR(INDEX('Comment flow'!$C$40:$C$46,MATCH(I1153,'Comment flow'!$A$40:$A$46,0)),""))</f>
        <v/>
      </c>
      <c r="N1153" s="46" t="str">
        <f aca="false">IF(B1153="","",IF(OR(I1153="",I1153="Open: needs a decision",L1153=""),"Open","Closed"))</f>
        <v/>
      </c>
      <c r="O1153" s="46"/>
      <c r="P1153" s="46" t="str">
        <f aca="false">IF(OR(B1153="",I1153&lt;&gt;"Save for a later revision"),"",IF(COUNTIF('Deferred edits'!$K$2:$K$201,A1153)&gt;0,"Yes","● Add to Deferred edits"))</f>
        <v/>
      </c>
    </row>
    <row r="1154" customFormat="false" ht="15" hidden="false" customHeight="false" outlineLevel="0" collapsed="false">
      <c r="A1154" s="46" t="s">
        <v>1449</v>
      </c>
      <c r="B1154" s="46"/>
      <c r="C1154" s="46"/>
      <c r="D1154" s="46"/>
      <c r="E1154" s="46"/>
      <c r="F1154" s="46"/>
      <c r="G1154" s="46"/>
      <c r="H1154" s="46"/>
      <c r="I1154" s="46"/>
      <c r="J1154" s="46"/>
      <c r="K1154" s="46"/>
      <c r="L1154" s="46"/>
      <c r="M1154" s="46" t="str">
        <f aca="false">IF(OR(B1154="",I1154=""),"",IFERROR(INDEX('Comment flow'!$C$40:$C$46,MATCH(I1154,'Comment flow'!$A$40:$A$46,0)),""))</f>
        <v/>
      </c>
      <c r="N1154" s="46" t="str">
        <f aca="false">IF(B1154="","",IF(OR(I1154="",I1154="Open: needs a decision",L1154=""),"Open","Closed"))</f>
        <v/>
      </c>
      <c r="O1154" s="46"/>
      <c r="P1154" s="46" t="str">
        <f aca="false">IF(OR(B1154="",I1154&lt;&gt;"Save for a later revision"),"",IF(COUNTIF('Deferred edits'!$K$2:$K$201,A1154)&gt;0,"Yes","● Add to Deferred edits"))</f>
        <v/>
      </c>
    </row>
    <row r="1155" customFormat="false" ht="15" hidden="false" customHeight="false" outlineLevel="0" collapsed="false">
      <c r="A1155" s="46" t="s">
        <v>1450</v>
      </c>
      <c r="B1155" s="46"/>
      <c r="C1155" s="46"/>
      <c r="D1155" s="46"/>
      <c r="E1155" s="46"/>
      <c r="F1155" s="46"/>
      <c r="G1155" s="46"/>
      <c r="H1155" s="46"/>
      <c r="I1155" s="46"/>
      <c r="J1155" s="46"/>
      <c r="K1155" s="46"/>
      <c r="L1155" s="46"/>
      <c r="M1155" s="46" t="str">
        <f aca="false">IF(OR(B1155="",I1155=""),"",IFERROR(INDEX('Comment flow'!$C$40:$C$46,MATCH(I1155,'Comment flow'!$A$40:$A$46,0)),""))</f>
        <v/>
      </c>
      <c r="N1155" s="46" t="str">
        <f aca="false">IF(B1155="","",IF(OR(I1155="",I1155="Open: needs a decision",L1155=""),"Open","Closed"))</f>
        <v/>
      </c>
      <c r="O1155" s="46"/>
      <c r="P1155" s="46" t="str">
        <f aca="false">IF(OR(B1155="",I1155&lt;&gt;"Save for a later revision"),"",IF(COUNTIF('Deferred edits'!$K$2:$K$201,A1155)&gt;0,"Yes","● Add to Deferred edits"))</f>
        <v/>
      </c>
    </row>
    <row r="1156" customFormat="false" ht="15" hidden="false" customHeight="false" outlineLevel="0" collapsed="false">
      <c r="A1156" s="46" t="s">
        <v>1451</v>
      </c>
      <c r="B1156" s="46"/>
      <c r="C1156" s="46"/>
      <c r="D1156" s="46"/>
      <c r="E1156" s="46"/>
      <c r="F1156" s="46"/>
      <c r="G1156" s="46"/>
      <c r="H1156" s="46"/>
      <c r="I1156" s="46"/>
      <c r="J1156" s="46"/>
      <c r="K1156" s="46"/>
      <c r="L1156" s="46"/>
      <c r="M1156" s="46" t="str">
        <f aca="false">IF(OR(B1156="",I1156=""),"",IFERROR(INDEX('Comment flow'!$C$40:$C$46,MATCH(I1156,'Comment flow'!$A$40:$A$46,0)),""))</f>
        <v/>
      </c>
      <c r="N1156" s="46" t="str">
        <f aca="false">IF(B1156="","",IF(OR(I1156="",I1156="Open: needs a decision",L1156=""),"Open","Closed"))</f>
        <v/>
      </c>
      <c r="O1156" s="46"/>
      <c r="P1156" s="46" t="str">
        <f aca="false">IF(OR(B1156="",I1156&lt;&gt;"Save for a later revision"),"",IF(COUNTIF('Deferred edits'!$K$2:$K$201,A1156)&gt;0,"Yes","● Add to Deferred edits"))</f>
        <v/>
      </c>
    </row>
    <row r="1157" customFormat="false" ht="15" hidden="false" customHeight="false" outlineLevel="0" collapsed="false">
      <c r="A1157" s="46" t="s">
        <v>1452</v>
      </c>
      <c r="B1157" s="46"/>
      <c r="C1157" s="46"/>
      <c r="D1157" s="46"/>
      <c r="E1157" s="46"/>
      <c r="F1157" s="46"/>
      <c r="G1157" s="46"/>
      <c r="H1157" s="46"/>
      <c r="I1157" s="46"/>
      <c r="J1157" s="46"/>
      <c r="K1157" s="46"/>
      <c r="L1157" s="46"/>
      <c r="M1157" s="46" t="str">
        <f aca="false">IF(OR(B1157="",I1157=""),"",IFERROR(INDEX('Comment flow'!$C$40:$C$46,MATCH(I1157,'Comment flow'!$A$40:$A$46,0)),""))</f>
        <v/>
      </c>
      <c r="N1157" s="46" t="str">
        <f aca="false">IF(B1157="","",IF(OR(I1157="",I1157="Open: needs a decision",L1157=""),"Open","Closed"))</f>
        <v/>
      </c>
      <c r="O1157" s="46"/>
      <c r="P1157" s="46" t="str">
        <f aca="false">IF(OR(B1157="",I1157&lt;&gt;"Save for a later revision"),"",IF(COUNTIF('Deferred edits'!$K$2:$K$201,A1157)&gt;0,"Yes","● Add to Deferred edits"))</f>
        <v/>
      </c>
    </row>
    <row r="1158" customFormat="false" ht="15" hidden="false" customHeight="false" outlineLevel="0" collapsed="false">
      <c r="A1158" s="46" t="s">
        <v>1453</v>
      </c>
      <c r="B1158" s="46"/>
      <c r="C1158" s="46"/>
      <c r="D1158" s="46"/>
      <c r="E1158" s="46"/>
      <c r="F1158" s="46"/>
      <c r="G1158" s="46"/>
      <c r="H1158" s="46"/>
      <c r="I1158" s="46"/>
      <c r="J1158" s="46"/>
      <c r="K1158" s="46"/>
      <c r="L1158" s="46"/>
      <c r="M1158" s="46" t="str">
        <f aca="false">IF(OR(B1158="",I1158=""),"",IFERROR(INDEX('Comment flow'!$C$40:$C$46,MATCH(I1158,'Comment flow'!$A$40:$A$46,0)),""))</f>
        <v/>
      </c>
      <c r="N1158" s="46" t="str">
        <f aca="false">IF(B1158="","",IF(OR(I1158="",I1158="Open: needs a decision",L1158=""),"Open","Closed"))</f>
        <v/>
      </c>
      <c r="O1158" s="46"/>
      <c r="P1158" s="46" t="str">
        <f aca="false">IF(OR(B1158="",I1158&lt;&gt;"Save for a later revision"),"",IF(COUNTIF('Deferred edits'!$K$2:$K$201,A1158)&gt;0,"Yes","● Add to Deferred edits"))</f>
        <v/>
      </c>
    </row>
    <row r="1159" customFormat="false" ht="15" hidden="false" customHeight="false" outlineLevel="0" collapsed="false">
      <c r="A1159" s="46" t="s">
        <v>1454</v>
      </c>
      <c r="B1159" s="46"/>
      <c r="C1159" s="46"/>
      <c r="D1159" s="46"/>
      <c r="E1159" s="46"/>
      <c r="F1159" s="46"/>
      <c r="G1159" s="46"/>
      <c r="H1159" s="46"/>
      <c r="I1159" s="46"/>
      <c r="J1159" s="46"/>
      <c r="K1159" s="46"/>
      <c r="L1159" s="46"/>
      <c r="M1159" s="46" t="str">
        <f aca="false">IF(OR(B1159="",I1159=""),"",IFERROR(INDEX('Comment flow'!$C$40:$C$46,MATCH(I1159,'Comment flow'!$A$40:$A$46,0)),""))</f>
        <v/>
      </c>
      <c r="N1159" s="46" t="str">
        <f aca="false">IF(B1159="","",IF(OR(I1159="",I1159="Open: needs a decision",L1159=""),"Open","Closed"))</f>
        <v/>
      </c>
      <c r="O1159" s="46"/>
      <c r="P1159" s="46" t="str">
        <f aca="false">IF(OR(B1159="",I1159&lt;&gt;"Save for a later revision"),"",IF(COUNTIF('Deferred edits'!$K$2:$K$201,A1159)&gt;0,"Yes","● Add to Deferred edits"))</f>
        <v/>
      </c>
    </row>
    <row r="1160" customFormat="false" ht="15" hidden="false" customHeight="false" outlineLevel="0" collapsed="false">
      <c r="A1160" s="46" t="s">
        <v>1455</v>
      </c>
      <c r="B1160" s="46"/>
      <c r="C1160" s="46"/>
      <c r="D1160" s="46"/>
      <c r="E1160" s="46"/>
      <c r="F1160" s="46"/>
      <c r="G1160" s="46"/>
      <c r="H1160" s="46"/>
      <c r="I1160" s="46"/>
      <c r="J1160" s="46"/>
      <c r="K1160" s="46"/>
      <c r="L1160" s="46"/>
      <c r="M1160" s="46" t="str">
        <f aca="false">IF(OR(B1160="",I1160=""),"",IFERROR(INDEX('Comment flow'!$C$40:$C$46,MATCH(I1160,'Comment flow'!$A$40:$A$46,0)),""))</f>
        <v/>
      </c>
      <c r="N1160" s="46" t="str">
        <f aca="false">IF(B1160="","",IF(OR(I1160="",I1160="Open: needs a decision",L1160=""),"Open","Closed"))</f>
        <v/>
      </c>
      <c r="O1160" s="46"/>
      <c r="P1160" s="46" t="str">
        <f aca="false">IF(OR(B1160="",I1160&lt;&gt;"Save for a later revision"),"",IF(COUNTIF('Deferred edits'!$K$2:$K$201,A1160)&gt;0,"Yes","● Add to Deferred edits"))</f>
        <v/>
      </c>
    </row>
    <row r="1161" customFormat="false" ht="15" hidden="false" customHeight="false" outlineLevel="0" collapsed="false">
      <c r="A1161" s="46" t="s">
        <v>1456</v>
      </c>
      <c r="B1161" s="46"/>
      <c r="C1161" s="46"/>
      <c r="D1161" s="46"/>
      <c r="E1161" s="46"/>
      <c r="F1161" s="46"/>
      <c r="G1161" s="46"/>
      <c r="H1161" s="46"/>
      <c r="I1161" s="46"/>
      <c r="J1161" s="46"/>
      <c r="K1161" s="46"/>
      <c r="L1161" s="46"/>
      <c r="M1161" s="46" t="str">
        <f aca="false">IF(OR(B1161="",I1161=""),"",IFERROR(INDEX('Comment flow'!$C$40:$C$46,MATCH(I1161,'Comment flow'!$A$40:$A$46,0)),""))</f>
        <v/>
      </c>
      <c r="N1161" s="46" t="str">
        <f aca="false">IF(B1161="","",IF(OR(I1161="",I1161="Open: needs a decision",L1161=""),"Open","Closed"))</f>
        <v/>
      </c>
      <c r="O1161" s="46"/>
      <c r="P1161" s="46" t="str">
        <f aca="false">IF(OR(B1161="",I1161&lt;&gt;"Save for a later revision"),"",IF(COUNTIF('Deferred edits'!$K$2:$K$201,A1161)&gt;0,"Yes","● Add to Deferred edits"))</f>
        <v/>
      </c>
    </row>
    <row r="1162" customFormat="false" ht="15" hidden="false" customHeight="false" outlineLevel="0" collapsed="false">
      <c r="A1162" s="46" t="s">
        <v>1457</v>
      </c>
      <c r="B1162" s="46"/>
      <c r="C1162" s="46"/>
      <c r="D1162" s="46"/>
      <c r="E1162" s="46"/>
      <c r="F1162" s="46"/>
      <c r="G1162" s="46"/>
      <c r="H1162" s="46"/>
      <c r="I1162" s="46"/>
      <c r="J1162" s="46"/>
      <c r="K1162" s="46"/>
      <c r="L1162" s="46"/>
      <c r="M1162" s="46" t="str">
        <f aca="false">IF(OR(B1162="",I1162=""),"",IFERROR(INDEX('Comment flow'!$C$40:$C$46,MATCH(I1162,'Comment flow'!$A$40:$A$46,0)),""))</f>
        <v/>
      </c>
      <c r="N1162" s="46" t="str">
        <f aca="false">IF(B1162="","",IF(OR(I1162="",I1162="Open: needs a decision",L1162=""),"Open","Closed"))</f>
        <v/>
      </c>
      <c r="O1162" s="46"/>
      <c r="P1162" s="46" t="str">
        <f aca="false">IF(OR(B1162="",I1162&lt;&gt;"Save for a later revision"),"",IF(COUNTIF('Deferred edits'!$K$2:$K$201,A1162)&gt;0,"Yes","● Add to Deferred edits"))</f>
        <v/>
      </c>
    </row>
    <row r="1163" customFormat="false" ht="15" hidden="false" customHeight="false" outlineLevel="0" collapsed="false">
      <c r="A1163" s="46" t="s">
        <v>1458</v>
      </c>
      <c r="B1163" s="46"/>
      <c r="C1163" s="46"/>
      <c r="D1163" s="46"/>
      <c r="E1163" s="46"/>
      <c r="F1163" s="46"/>
      <c r="G1163" s="46"/>
      <c r="H1163" s="46"/>
      <c r="I1163" s="46"/>
      <c r="J1163" s="46"/>
      <c r="K1163" s="46"/>
      <c r="L1163" s="46"/>
      <c r="M1163" s="46" t="str">
        <f aca="false">IF(OR(B1163="",I1163=""),"",IFERROR(INDEX('Comment flow'!$C$40:$C$46,MATCH(I1163,'Comment flow'!$A$40:$A$46,0)),""))</f>
        <v/>
      </c>
      <c r="N1163" s="46" t="str">
        <f aca="false">IF(B1163="","",IF(OR(I1163="",I1163="Open: needs a decision",L1163=""),"Open","Closed"))</f>
        <v/>
      </c>
      <c r="O1163" s="46"/>
      <c r="P1163" s="46" t="str">
        <f aca="false">IF(OR(B1163="",I1163&lt;&gt;"Save for a later revision"),"",IF(COUNTIF('Deferred edits'!$K$2:$K$201,A1163)&gt;0,"Yes","● Add to Deferred edits"))</f>
        <v/>
      </c>
    </row>
    <row r="1164" customFormat="false" ht="15" hidden="false" customHeight="false" outlineLevel="0" collapsed="false">
      <c r="A1164" s="46" t="s">
        <v>1459</v>
      </c>
      <c r="B1164" s="46"/>
      <c r="C1164" s="46"/>
      <c r="D1164" s="46"/>
      <c r="E1164" s="46"/>
      <c r="F1164" s="46"/>
      <c r="G1164" s="46"/>
      <c r="H1164" s="46"/>
      <c r="I1164" s="46"/>
      <c r="J1164" s="46"/>
      <c r="K1164" s="46"/>
      <c r="L1164" s="46"/>
      <c r="M1164" s="46" t="str">
        <f aca="false">IF(OR(B1164="",I1164=""),"",IFERROR(INDEX('Comment flow'!$C$40:$C$46,MATCH(I1164,'Comment flow'!$A$40:$A$46,0)),""))</f>
        <v/>
      </c>
      <c r="N1164" s="46" t="str">
        <f aca="false">IF(B1164="","",IF(OR(I1164="",I1164="Open: needs a decision",L1164=""),"Open","Closed"))</f>
        <v/>
      </c>
      <c r="O1164" s="46"/>
      <c r="P1164" s="46" t="str">
        <f aca="false">IF(OR(B1164="",I1164&lt;&gt;"Save for a later revision"),"",IF(COUNTIF('Deferred edits'!$K$2:$K$201,A1164)&gt;0,"Yes","● Add to Deferred edits"))</f>
        <v/>
      </c>
    </row>
    <row r="1165" customFormat="false" ht="15" hidden="false" customHeight="false" outlineLevel="0" collapsed="false">
      <c r="A1165" s="46" t="s">
        <v>1460</v>
      </c>
      <c r="B1165" s="46"/>
      <c r="C1165" s="46"/>
      <c r="D1165" s="46"/>
      <c r="E1165" s="46"/>
      <c r="F1165" s="46"/>
      <c r="G1165" s="46"/>
      <c r="H1165" s="46"/>
      <c r="I1165" s="46"/>
      <c r="J1165" s="46"/>
      <c r="K1165" s="46"/>
      <c r="L1165" s="46"/>
      <c r="M1165" s="46" t="str">
        <f aca="false">IF(OR(B1165="",I1165=""),"",IFERROR(INDEX('Comment flow'!$C$40:$C$46,MATCH(I1165,'Comment flow'!$A$40:$A$46,0)),""))</f>
        <v/>
      </c>
      <c r="N1165" s="46" t="str">
        <f aca="false">IF(B1165="","",IF(OR(I1165="",I1165="Open: needs a decision",L1165=""),"Open","Closed"))</f>
        <v/>
      </c>
      <c r="O1165" s="46"/>
      <c r="P1165" s="46" t="str">
        <f aca="false">IF(OR(B1165="",I1165&lt;&gt;"Save for a later revision"),"",IF(COUNTIF('Deferred edits'!$K$2:$K$201,A1165)&gt;0,"Yes","● Add to Deferred edits"))</f>
        <v/>
      </c>
    </row>
    <row r="1166" customFormat="false" ht="15" hidden="false" customHeight="false" outlineLevel="0" collapsed="false">
      <c r="A1166" s="46" t="s">
        <v>1461</v>
      </c>
      <c r="B1166" s="46"/>
      <c r="C1166" s="46"/>
      <c r="D1166" s="46"/>
      <c r="E1166" s="46"/>
      <c r="F1166" s="46"/>
      <c r="G1166" s="46"/>
      <c r="H1166" s="46"/>
      <c r="I1166" s="46"/>
      <c r="J1166" s="46"/>
      <c r="K1166" s="46"/>
      <c r="L1166" s="46"/>
      <c r="M1166" s="46" t="str">
        <f aca="false">IF(OR(B1166="",I1166=""),"",IFERROR(INDEX('Comment flow'!$C$40:$C$46,MATCH(I1166,'Comment flow'!$A$40:$A$46,0)),""))</f>
        <v/>
      </c>
      <c r="N1166" s="46" t="str">
        <f aca="false">IF(B1166="","",IF(OR(I1166="",I1166="Open: needs a decision",L1166=""),"Open","Closed"))</f>
        <v/>
      </c>
      <c r="O1166" s="46"/>
      <c r="P1166" s="46" t="str">
        <f aca="false">IF(OR(B1166="",I1166&lt;&gt;"Save for a later revision"),"",IF(COUNTIF('Deferred edits'!$K$2:$K$201,A1166)&gt;0,"Yes","● Add to Deferred edits"))</f>
        <v/>
      </c>
    </row>
    <row r="1167" customFormat="false" ht="15" hidden="false" customHeight="false" outlineLevel="0" collapsed="false">
      <c r="A1167" s="46" t="s">
        <v>1462</v>
      </c>
      <c r="B1167" s="46"/>
      <c r="C1167" s="46"/>
      <c r="D1167" s="46"/>
      <c r="E1167" s="46"/>
      <c r="F1167" s="46"/>
      <c r="G1167" s="46"/>
      <c r="H1167" s="46"/>
      <c r="I1167" s="46"/>
      <c r="J1167" s="46"/>
      <c r="K1167" s="46"/>
      <c r="L1167" s="46"/>
      <c r="M1167" s="46" t="str">
        <f aca="false">IF(OR(B1167="",I1167=""),"",IFERROR(INDEX('Comment flow'!$C$40:$C$46,MATCH(I1167,'Comment flow'!$A$40:$A$46,0)),""))</f>
        <v/>
      </c>
      <c r="N1167" s="46" t="str">
        <f aca="false">IF(B1167="","",IF(OR(I1167="",I1167="Open: needs a decision",L1167=""),"Open","Closed"))</f>
        <v/>
      </c>
      <c r="O1167" s="46"/>
      <c r="P1167" s="46" t="str">
        <f aca="false">IF(OR(B1167="",I1167&lt;&gt;"Save for a later revision"),"",IF(COUNTIF('Deferred edits'!$K$2:$K$201,A1167)&gt;0,"Yes","● Add to Deferred edits"))</f>
        <v/>
      </c>
    </row>
    <row r="1168" customFormat="false" ht="15" hidden="false" customHeight="false" outlineLevel="0" collapsed="false">
      <c r="A1168" s="46" t="s">
        <v>1463</v>
      </c>
      <c r="B1168" s="46"/>
      <c r="C1168" s="46"/>
      <c r="D1168" s="46"/>
      <c r="E1168" s="46"/>
      <c r="F1168" s="46"/>
      <c r="G1168" s="46"/>
      <c r="H1168" s="46"/>
      <c r="I1168" s="46"/>
      <c r="J1168" s="46"/>
      <c r="K1168" s="46"/>
      <c r="L1168" s="46"/>
      <c r="M1168" s="46" t="str">
        <f aca="false">IF(OR(B1168="",I1168=""),"",IFERROR(INDEX('Comment flow'!$C$40:$C$46,MATCH(I1168,'Comment flow'!$A$40:$A$46,0)),""))</f>
        <v/>
      </c>
      <c r="N1168" s="46" t="str">
        <f aca="false">IF(B1168="","",IF(OR(I1168="",I1168="Open: needs a decision",L1168=""),"Open","Closed"))</f>
        <v/>
      </c>
      <c r="O1168" s="46"/>
      <c r="P1168" s="46" t="str">
        <f aca="false">IF(OR(B1168="",I1168&lt;&gt;"Save for a later revision"),"",IF(COUNTIF('Deferred edits'!$K$2:$K$201,A1168)&gt;0,"Yes","● Add to Deferred edits"))</f>
        <v/>
      </c>
    </row>
    <row r="1169" customFormat="false" ht="15" hidden="false" customHeight="false" outlineLevel="0" collapsed="false">
      <c r="A1169" s="46" t="s">
        <v>1464</v>
      </c>
      <c r="B1169" s="46"/>
      <c r="C1169" s="46"/>
      <c r="D1169" s="46"/>
      <c r="E1169" s="46"/>
      <c r="F1169" s="46"/>
      <c r="G1169" s="46"/>
      <c r="H1169" s="46"/>
      <c r="I1169" s="46"/>
      <c r="J1169" s="46"/>
      <c r="K1169" s="46"/>
      <c r="L1169" s="46"/>
      <c r="M1169" s="46" t="str">
        <f aca="false">IF(OR(B1169="",I1169=""),"",IFERROR(INDEX('Comment flow'!$C$40:$C$46,MATCH(I1169,'Comment flow'!$A$40:$A$46,0)),""))</f>
        <v/>
      </c>
      <c r="N1169" s="46" t="str">
        <f aca="false">IF(B1169="","",IF(OR(I1169="",I1169="Open: needs a decision",L1169=""),"Open","Closed"))</f>
        <v/>
      </c>
      <c r="O1169" s="46"/>
      <c r="P1169" s="46" t="str">
        <f aca="false">IF(OR(B1169="",I1169&lt;&gt;"Save for a later revision"),"",IF(COUNTIF('Deferred edits'!$K$2:$K$201,A1169)&gt;0,"Yes","● Add to Deferred edits"))</f>
        <v/>
      </c>
    </row>
    <row r="1170" customFormat="false" ht="15" hidden="false" customHeight="false" outlineLevel="0" collapsed="false">
      <c r="A1170" s="46" t="s">
        <v>1465</v>
      </c>
      <c r="B1170" s="46"/>
      <c r="C1170" s="46"/>
      <c r="D1170" s="46"/>
      <c r="E1170" s="46"/>
      <c r="F1170" s="46"/>
      <c r="G1170" s="46"/>
      <c r="H1170" s="46"/>
      <c r="I1170" s="46"/>
      <c r="J1170" s="46"/>
      <c r="K1170" s="46"/>
      <c r="L1170" s="46"/>
      <c r="M1170" s="46" t="str">
        <f aca="false">IF(OR(B1170="",I1170=""),"",IFERROR(INDEX('Comment flow'!$C$40:$C$46,MATCH(I1170,'Comment flow'!$A$40:$A$46,0)),""))</f>
        <v/>
      </c>
      <c r="N1170" s="46" t="str">
        <f aca="false">IF(B1170="","",IF(OR(I1170="",I1170="Open: needs a decision",L1170=""),"Open","Closed"))</f>
        <v/>
      </c>
      <c r="O1170" s="46"/>
      <c r="P1170" s="46" t="str">
        <f aca="false">IF(OR(B1170="",I1170&lt;&gt;"Save for a later revision"),"",IF(COUNTIF('Deferred edits'!$K$2:$K$201,A1170)&gt;0,"Yes","● Add to Deferred edits"))</f>
        <v/>
      </c>
    </row>
    <row r="1171" customFormat="false" ht="15" hidden="false" customHeight="false" outlineLevel="0" collapsed="false">
      <c r="A1171" s="46" t="s">
        <v>1466</v>
      </c>
      <c r="B1171" s="46"/>
      <c r="C1171" s="46"/>
      <c r="D1171" s="46"/>
      <c r="E1171" s="46"/>
      <c r="F1171" s="46"/>
      <c r="G1171" s="46"/>
      <c r="H1171" s="46"/>
      <c r="I1171" s="46"/>
      <c r="J1171" s="46"/>
      <c r="K1171" s="46"/>
      <c r="L1171" s="46"/>
      <c r="M1171" s="46" t="str">
        <f aca="false">IF(OR(B1171="",I1171=""),"",IFERROR(INDEX('Comment flow'!$C$40:$C$46,MATCH(I1171,'Comment flow'!$A$40:$A$46,0)),""))</f>
        <v/>
      </c>
      <c r="N1171" s="46" t="str">
        <f aca="false">IF(B1171="","",IF(OR(I1171="",I1171="Open: needs a decision",L1171=""),"Open","Closed"))</f>
        <v/>
      </c>
      <c r="O1171" s="46"/>
      <c r="P1171" s="46" t="str">
        <f aca="false">IF(OR(B1171="",I1171&lt;&gt;"Save for a later revision"),"",IF(COUNTIF('Deferred edits'!$K$2:$K$201,A1171)&gt;0,"Yes","● Add to Deferred edits"))</f>
        <v/>
      </c>
    </row>
    <row r="1172" customFormat="false" ht="15" hidden="false" customHeight="false" outlineLevel="0" collapsed="false">
      <c r="A1172" s="46" t="s">
        <v>1467</v>
      </c>
      <c r="B1172" s="46"/>
      <c r="C1172" s="46"/>
      <c r="D1172" s="46"/>
      <c r="E1172" s="46"/>
      <c r="F1172" s="46"/>
      <c r="G1172" s="46"/>
      <c r="H1172" s="46"/>
      <c r="I1172" s="46"/>
      <c r="J1172" s="46"/>
      <c r="K1172" s="46"/>
      <c r="L1172" s="46"/>
      <c r="M1172" s="46" t="str">
        <f aca="false">IF(OR(B1172="",I1172=""),"",IFERROR(INDEX('Comment flow'!$C$40:$C$46,MATCH(I1172,'Comment flow'!$A$40:$A$46,0)),""))</f>
        <v/>
      </c>
      <c r="N1172" s="46" t="str">
        <f aca="false">IF(B1172="","",IF(OR(I1172="",I1172="Open: needs a decision",L1172=""),"Open","Closed"))</f>
        <v/>
      </c>
      <c r="O1172" s="46"/>
      <c r="P1172" s="46" t="str">
        <f aca="false">IF(OR(B1172="",I1172&lt;&gt;"Save for a later revision"),"",IF(COUNTIF('Deferred edits'!$K$2:$K$201,A1172)&gt;0,"Yes","● Add to Deferred edits"))</f>
        <v/>
      </c>
    </row>
    <row r="1173" customFormat="false" ht="15" hidden="false" customHeight="false" outlineLevel="0" collapsed="false">
      <c r="A1173" s="46" t="s">
        <v>1468</v>
      </c>
      <c r="B1173" s="46"/>
      <c r="C1173" s="46"/>
      <c r="D1173" s="46"/>
      <c r="E1173" s="46"/>
      <c r="F1173" s="46"/>
      <c r="G1173" s="46"/>
      <c r="H1173" s="46"/>
      <c r="I1173" s="46"/>
      <c r="J1173" s="46"/>
      <c r="K1173" s="46"/>
      <c r="L1173" s="46"/>
      <c r="M1173" s="46" t="str">
        <f aca="false">IF(OR(B1173="",I1173=""),"",IFERROR(INDEX('Comment flow'!$C$40:$C$46,MATCH(I1173,'Comment flow'!$A$40:$A$46,0)),""))</f>
        <v/>
      </c>
      <c r="N1173" s="46" t="str">
        <f aca="false">IF(B1173="","",IF(OR(I1173="",I1173="Open: needs a decision",L1173=""),"Open","Closed"))</f>
        <v/>
      </c>
      <c r="O1173" s="46"/>
      <c r="P1173" s="46" t="str">
        <f aca="false">IF(OR(B1173="",I1173&lt;&gt;"Save for a later revision"),"",IF(COUNTIF('Deferred edits'!$K$2:$K$201,A1173)&gt;0,"Yes","● Add to Deferred edits"))</f>
        <v/>
      </c>
    </row>
    <row r="1174" customFormat="false" ht="15" hidden="false" customHeight="false" outlineLevel="0" collapsed="false">
      <c r="A1174" s="46" t="s">
        <v>1469</v>
      </c>
      <c r="B1174" s="46"/>
      <c r="C1174" s="46"/>
      <c r="D1174" s="46"/>
      <c r="E1174" s="46"/>
      <c r="F1174" s="46"/>
      <c r="G1174" s="46"/>
      <c r="H1174" s="46"/>
      <c r="I1174" s="46"/>
      <c r="J1174" s="46"/>
      <c r="K1174" s="46"/>
      <c r="L1174" s="46"/>
      <c r="M1174" s="46" t="str">
        <f aca="false">IF(OR(B1174="",I1174=""),"",IFERROR(INDEX('Comment flow'!$C$40:$C$46,MATCH(I1174,'Comment flow'!$A$40:$A$46,0)),""))</f>
        <v/>
      </c>
      <c r="N1174" s="46" t="str">
        <f aca="false">IF(B1174="","",IF(OR(I1174="",I1174="Open: needs a decision",L1174=""),"Open","Closed"))</f>
        <v/>
      </c>
      <c r="O1174" s="46"/>
      <c r="P1174" s="46" t="str">
        <f aca="false">IF(OR(B1174="",I1174&lt;&gt;"Save for a later revision"),"",IF(COUNTIF('Deferred edits'!$K$2:$K$201,A1174)&gt;0,"Yes","● Add to Deferred edits"))</f>
        <v/>
      </c>
    </row>
    <row r="1175" customFormat="false" ht="15" hidden="false" customHeight="false" outlineLevel="0" collapsed="false">
      <c r="A1175" s="46" t="s">
        <v>1470</v>
      </c>
      <c r="B1175" s="46"/>
      <c r="C1175" s="46"/>
      <c r="D1175" s="46"/>
      <c r="E1175" s="46"/>
      <c r="F1175" s="46"/>
      <c r="G1175" s="46"/>
      <c r="H1175" s="46"/>
      <c r="I1175" s="46"/>
      <c r="J1175" s="46"/>
      <c r="K1175" s="46"/>
      <c r="L1175" s="46"/>
      <c r="M1175" s="46" t="str">
        <f aca="false">IF(OR(B1175="",I1175=""),"",IFERROR(INDEX('Comment flow'!$C$40:$C$46,MATCH(I1175,'Comment flow'!$A$40:$A$46,0)),""))</f>
        <v/>
      </c>
      <c r="N1175" s="46" t="str">
        <f aca="false">IF(B1175="","",IF(OR(I1175="",I1175="Open: needs a decision",L1175=""),"Open","Closed"))</f>
        <v/>
      </c>
      <c r="O1175" s="46"/>
      <c r="P1175" s="46" t="str">
        <f aca="false">IF(OR(B1175="",I1175&lt;&gt;"Save for a later revision"),"",IF(COUNTIF('Deferred edits'!$K$2:$K$201,A1175)&gt;0,"Yes","● Add to Deferred edits"))</f>
        <v/>
      </c>
    </row>
    <row r="1176" customFormat="false" ht="15" hidden="false" customHeight="false" outlineLevel="0" collapsed="false">
      <c r="A1176" s="46" t="s">
        <v>1471</v>
      </c>
      <c r="B1176" s="46"/>
      <c r="C1176" s="46"/>
      <c r="D1176" s="46"/>
      <c r="E1176" s="46"/>
      <c r="F1176" s="46"/>
      <c r="G1176" s="46"/>
      <c r="H1176" s="46"/>
      <c r="I1176" s="46"/>
      <c r="J1176" s="46"/>
      <c r="K1176" s="46"/>
      <c r="L1176" s="46"/>
      <c r="M1176" s="46" t="str">
        <f aca="false">IF(OR(B1176="",I1176=""),"",IFERROR(INDEX('Comment flow'!$C$40:$C$46,MATCH(I1176,'Comment flow'!$A$40:$A$46,0)),""))</f>
        <v/>
      </c>
      <c r="N1176" s="46" t="str">
        <f aca="false">IF(B1176="","",IF(OR(I1176="",I1176="Open: needs a decision",L1176=""),"Open","Closed"))</f>
        <v/>
      </c>
      <c r="O1176" s="46"/>
      <c r="P1176" s="46" t="str">
        <f aca="false">IF(OR(B1176="",I1176&lt;&gt;"Save for a later revision"),"",IF(COUNTIF('Deferred edits'!$K$2:$K$201,A1176)&gt;0,"Yes","● Add to Deferred edits"))</f>
        <v/>
      </c>
    </row>
    <row r="1177" customFormat="false" ht="15" hidden="false" customHeight="false" outlineLevel="0" collapsed="false">
      <c r="A1177" s="46" t="s">
        <v>1472</v>
      </c>
      <c r="B1177" s="46"/>
      <c r="C1177" s="46"/>
      <c r="D1177" s="46"/>
      <c r="E1177" s="46"/>
      <c r="F1177" s="46"/>
      <c r="G1177" s="46"/>
      <c r="H1177" s="46"/>
      <c r="I1177" s="46"/>
      <c r="J1177" s="46"/>
      <c r="K1177" s="46"/>
      <c r="L1177" s="46"/>
      <c r="M1177" s="46" t="str">
        <f aca="false">IF(OR(B1177="",I1177=""),"",IFERROR(INDEX('Comment flow'!$C$40:$C$46,MATCH(I1177,'Comment flow'!$A$40:$A$46,0)),""))</f>
        <v/>
      </c>
      <c r="N1177" s="46" t="str">
        <f aca="false">IF(B1177="","",IF(OR(I1177="",I1177="Open: needs a decision",L1177=""),"Open","Closed"))</f>
        <v/>
      </c>
      <c r="O1177" s="46"/>
      <c r="P1177" s="46" t="str">
        <f aca="false">IF(OR(B1177="",I1177&lt;&gt;"Save for a later revision"),"",IF(COUNTIF('Deferred edits'!$K$2:$K$201,A1177)&gt;0,"Yes","● Add to Deferred edits"))</f>
        <v/>
      </c>
    </row>
    <row r="1178" customFormat="false" ht="15" hidden="false" customHeight="false" outlineLevel="0" collapsed="false">
      <c r="A1178" s="46" t="s">
        <v>1473</v>
      </c>
      <c r="B1178" s="46"/>
      <c r="C1178" s="46"/>
      <c r="D1178" s="46"/>
      <c r="E1178" s="46"/>
      <c r="F1178" s="46"/>
      <c r="G1178" s="46"/>
      <c r="H1178" s="46"/>
      <c r="I1178" s="46"/>
      <c r="J1178" s="46"/>
      <c r="K1178" s="46"/>
      <c r="L1178" s="46"/>
      <c r="M1178" s="46" t="str">
        <f aca="false">IF(OR(B1178="",I1178=""),"",IFERROR(INDEX('Comment flow'!$C$40:$C$46,MATCH(I1178,'Comment flow'!$A$40:$A$46,0)),""))</f>
        <v/>
      </c>
      <c r="N1178" s="46" t="str">
        <f aca="false">IF(B1178="","",IF(OR(I1178="",I1178="Open: needs a decision",L1178=""),"Open","Closed"))</f>
        <v/>
      </c>
      <c r="O1178" s="46"/>
      <c r="P1178" s="46" t="str">
        <f aca="false">IF(OR(B1178="",I1178&lt;&gt;"Save for a later revision"),"",IF(COUNTIF('Deferred edits'!$K$2:$K$201,A1178)&gt;0,"Yes","● Add to Deferred edits"))</f>
        <v/>
      </c>
    </row>
    <row r="1179" customFormat="false" ht="15" hidden="false" customHeight="false" outlineLevel="0" collapsed="false">
      <c r="A1179" s="46" t="s">
        <v>1474</v>
      </c>
      <c r="B1179" s="46"/>
      <c r="C1179" s="46"/>
      <c r="D1179" s="46"/>
      <c r="E1179" s="46"/>
      <c r="F1179" s="46"/>
      <c r="G1179" s="46"/>
      <c r="H1179" s="46"/>
      <c r="I1179" s="46"/>
      <c r="J1179" s="46"/>
      <c r="K1179" s="46"/>
      <c r="L1179" s="46"/>
      <c r="M1179" s="46" t="str">
        <f aca="false">IF(OR(B1179="",I1179=""),"",IFERROR(INDEX('Comment flow'!$C$40:$C$46,MATCH(I1179,'Comment flow'!$A$40:$A$46,0)),""))</f>
        <v/>
      </c>
      <c r="N1179" s="46" t="str">
        <f aca="false">IF(B1179="","",IF(OR(I1179="",I1179="Open: needs a decision",L1179=""),"Open","Closed"))</f>
        <v/>
      </c>
      <c r="O1179" s="46"/>
      <c r="P1179" s="46" t="str">
        <f aca="false">IF(OR(B1179="",I1179&lt;&gt;"Save for a later revision"),"",IF(COUNTIF('Deferred edits'!$K$2:$K$201,A1179)&gt;0,"Yes","● Add to Deferred edits"))</f>
        <v/>
      </c>
    </row>
    <row r="1180" customFormat="false" ht="15" hidden="false" customHeight="false" outlineLevel="0" collapsed="false">
      <c r="A1180" s="46" t="s">
        <v>1475</v>
      </c>
      <c r="B1180" s="46"/>
      <c r="C1180" s="46"/>
      <c r="D1180" s="46"/>
      <c r="E1180" s="46"/>
      <c r="F1180" s="46"/>
      <c r="G1180" s="46"/>
      <c r="H1180" s="46"/>
      <c r="I1180" s="46"/>
      <c r="J1180" s="46"/>
      <c r="K1180" s="46"/>
      <c r="L1180" s="46"/>
      <c r="M1180" s="46" t="str">
        <f aca="false">IF(OR(B1180="",I1180=""),"",IFERROR(INDEX('Comment flow'!$C$40:$C$46,MATCH(I1180,'Comment flow'!$A$40:$A$46,0)),""))</f>
        <v/>
      </c>
      <c r="N1180" s="46" t="str">
        <f aca="false">IF(B1180="","",IF(OR(I1180="",I1180="Open: needs a decision",L1180=""),"Open","Closed"))</f>
        <v/>
      </c>
      <c r="O1180" s="46"/>
      <c r="P1180" s="46" t="str">
        <f aca="false">IF(OR(B1180="",I1180&lt;&gt;"Save for a later revision"),"",IF(COUNTIF('Deferred edits'!$K$2:$K$201,A1180)&gt;0,"Yes","● Add to Deferred edits"))</f>
        <v/>
      </c>
    </row>
    <row r="1181" customFormat="false" ht="15" hidden="false" customHeight="false" outlineLevel="0" collapsed="false">
      <c r="A1181" s="46" t="s">
        <v>1476</v>
      </c>
      <c r="B1181" s="46"/>
      <c r="C1181" s="46"/>
      <c r="D1181" s="46"/>
      <c r="E1181" s="46"/>
      <c r="F1181" s="46"/>
      <c r="G1181" s="46"/>
      <c r="H1181" s="46"/>
      <c r="I1181" s="46"/>
      <c r="J1181" s="46"/>
      <c r="K1181" s="46"/>
      <c r="L1181" s="46"/>
      <c r="M1181" s="46" t="str">
        <f aca="false">IF(OR(B1181="",I1181=""),"",IFERROR(INDEX('Comment flow'!$C$40:$C$46,MATCH(I1181,'Comment flow'!$A$40:$A$46,0)),""))</f>
        <v/>
      </c>
      <c r="N1181" s="46" t="str">
        <f aca="false">IF(B1181="","",IF(OR(I1181="",I1181="Open: needs a decision",L1181=""),"Open","Closed"))</f>
        <v/>
      </c>
      <c r="O1181" s="46"/>
      <c r="P1181" s="46" t="str">
        <f aca="false">IF(OR(B1181="",I1181&lt;&gt;"Save for a later revision"),"",IF(COUNTIF('Deferred edits'!$K$2:$K$201,A1181)&gt;0,"Yes","● Add to Deferred edits"))</f>
        <v/>
      </c>
    </row>
    <row r="1182" customFormat="false" ht="15" hidden="false" customHeight="false" outlineLevel="0" collapsed="false">
      <c r="A1182" s="46" t="s">
        <v>1477</v>
      </c>
      <c r="B1182" s="46"/>
      <c r="C1182" s="46"/>
      <c r="D1182" s="46"/>
      <c r="E1182" s="46"/>
      <c r="F1182" s="46"/>
      <c r="G1182" s="46"/>
      <c r="H1182" s="46"/>
      <c r="I1182" s="46"/>
      <c r="J1182" s="46"/>
      <c r="K1182" s="46"/>
      <c r="L1182" s="46"/>
      <c r="M1182" s="46" t="str">
        <f aca="false">IF(OR(B1182="",I1182=""),"",IFERROR(INDEX('Comment flow'!$C$40:$C$46,MATCH(I1182,'Comment flow'!$A$40:$A$46,0)),""))</f>
        <v/>
      </c>
      <c r="N1182" s="46" t="str">
        <f aca="false">IF(B1182="","",IF(OR(I1182="",I1182="Open: needs a decision",L1182=""),"Open","Closed"))</f>
        <v/>
      </c>
      <c r="O1182" s="46"/>
      <c r="P1182" s="46" t="str">
        <f aca="false">IF(OR(B1182="",I1182&lt;&gt;"Save for a later revision"),"",IF(COUNTIF('Deferred edits'!$K$2:$K$201,A1182)&gt;0,"Yes","● Add to Deferred edits"))</f>
        <v/>
      </c>
    </row>
    <row r="1183" customFormat="false" ht="15" hidden="false" customHeight="false" outlineLevel="0" collapsed="false">
      <c r="A1183" s="46" t="s">
        <v>1478</v>
      </c>
      <c r="B1183" s="46"/>
      <c r="C1183" s="46"/>
      <c r="D1183" s="46"/>
      <c r="E1183" s="46"/>
      <c r="F1183" s="46"/>
      <c r="G1183" s="46"/>
      <c r="H1183" s="46"/>
      <c r="I1183" s="46"/>
      <c r="J1183" s="46"/>
      <c r="K1183" s="46"/>
      <c r="L1183" s="46"/>
      <c r="M1183" s="46" t="str">
        <f aca="false">IF(OR(B1183="",I1183=""),"",IFERROR(INDEX('Comment flow'!$C$40:$C$46,MATCH(I1183,'Comment flow'!$A$40:$A$46,0)),""))</f>
        <v/>
      </c>
      <c r="N1183" s="46" t="str">
        <f aca="false">IF(B1183="","",IF(OR(I1183="",I1183="Open: needs a decision",L1183=""),"Open","Closed"))</f>
        <v/>
      </c>
      <c r="O1183" s="46"/>
      <c r="P1183" s="46" t="str">
        <f aca="false">IF(OR(B1183="",I1183&lt;&gt;"Save for a later revision"),"",IF(COUNTIF('Deferred edits'!$K$2:$K$201,A1183)&gt;0,"Yes","● Add to Deferred edits"))</f>
        <v/>
      </c>
    </row>
    <row r="1184" customFormat="false" ht="15" hidden="false" customHeight="false" outlineLevel="0" collapsed="false">
      <c r="A1184" s="46" t="s">
        <v>1479</v>
      </c>
      <c r="B1184" s="46"/>
      <c r="C1184" s="46"/>
      <c r="D1184" s="46"/>
      <c r="E1184" s="46"/>
      <c r="F1184" s="46"/>
      <c r="G1184" s="46"/>
      <c r="H1184" s="46"/>
      <c r="I1184" s="46"/>
      <c r="J1184" s="46"/>
      <c r="K1184" s="46"/>
      <c r="L1184" s="46"/>
      <c r="M1184" s="46" t="str">
        <f aca="false">IF(OR(B1184="",I1184=""),"",IFERROR(INDEX('Comment flow'!$C$40:$C$46,MATCH(I1184,'Comment flow'!$A$40:$A$46,0)),""))</f>
        <v/>
      </c>
      <c r="N1184" s="46" t="str">
        <f aca="false">IF(B1184="","",IF(OR(I1184="",I1184="Open: needs a decision",L1184=""),"Open","Closed"))</f>
        <v/>
      </c>
      <c r="O1184" s="46"/>
      <c r="P1184" s="46" t="str">
        <f aca="false">IF(OR(B1184="",I1184&lt;&gt;"Save for a later revision"),"",IF(COUNTIF('Deferred edits'!$K$2:$K$201,A1184)&gt;0,"Yes","● Add to Deferred edits"))</f>
        <v/>
      </c>
    </row>
    <row r="1185" customFormat="false" ht="15" hidden="false" customHeight="false" outlineLevel="0" collapsed="false">
      <c r="A1185" s="46" t="s">
        <v>1480</v>
      </c>
      <c r="B1185" s="46"/>
      <c r="C1185" s="46"/>
      <c r="D1185" s="46"/>
      <c r="E1185" s="46"/>
      <c r="F1185" s="46"/>
      <c r="G1185" s="46"/>
      <c r="H1185" s="46"/>
      <c r="I1185" s="46"/>
      <c r="J1185" s="46"/>
      <c r="K1185" s="46"/>
      <c r="L1185" s="46"/>
      <c r="M1185" s="46" t="str">
        <f aca="false">IF(OR(B1185="",I1185=""),"",IFERROR(INDEX('Comment flow'!$C$40:$C$46,MATCH(I1185,'Comment flow'!$A$40:$A$46,0)),""))</f>
        <v/>
      </c>
      <c r="N1185" s="46" t="str">
        <f aca="false">IF(B1185="","",IF(OR(I1185="",I1185="Open: needs a decision",L1185=""),"Open","Closed"))</f>
        <v/>
      </c>
      <c r="O1185" s="46"/>
      <c r="P1185" s="46" t="str">
        <f aca="false">IF(OR(B1185="",I1185&lt;&gt;"Save for a later revision"),"",IF(COUNTIF('Deferred edits'!$K$2:$K$201,A1185)&gt;0,"Yes","● Add to Deferred edits"))</f>
        <v/>
      </c>
    </row>
    <row r="1186" customFormat="false" ht="15" hidden="false" customHeight="false" outlineLevel="0" collapsed="false">
      <c r="A1186" s="46" t="s">
        <v>1481</v>
      </c>
      <c r="B1186" s="46"/>
      <c r="C1186" s="46"/>
      <c r="D1186" s="46"/>
      <c r="E1186" s="46"/>
      <c r="F1186" s="46"/>
      <c r="G1186" s="46"/>
      <c r="H1186" s="46"/>
      <c r="I1186" s="46"/>
      <c r="J1186" s="46"/>
      <c r="K1186" s="46"/>
      <c r="L1186" s="46"/>
      <c r="M1186" s="46" t="str">
        <f aca="false">IF(OR(B1186="",I1186=""),"",IFERROR(INDEX('Comment flow'!$C$40:$C$46,MATCH(I1186,'Comment flow'!$A$40:$A$46,0)),""))</f>
        <v/>
      </c>
      <c r="N1186" s="46" t="str">
        <f aca="false">IF(B1186="","",IF(OR(I1186="",I1186="Open: needs a decision",L1186=""),"Open","Closed"))</f>
        <v/>
      </c>
      <c r="O1186" s="46"/>
      <c r="P1186" s="46" t="str">
        <f aca="false">IF(OR(B1186="",I1186&lt;&gt;"Save for a later revision"),"",IF(COUNTIF('Deferred edits'!$K$2:$K$201,A1186)&gt;0,"Yes","● Add to Deferred edits"))</f>
        <v/>
      </c>
    </row>
    <row r="1187" customFormat="false" ht="15" hidden="false" customHeight="false" outlineLevel="0" collapsed="false">
      <c r="A1187" s="46" t="s">
        <v>1482</v>
      </c>
      <c r="B1187" s="46"/>
      <c r="C1187" s="46"/>
      <c r="D1187" s="46"/>
      <c r="E1187" s="46"/>
      <c r="F1187" s="46"/>
      <c r="G1187" s="46"/>
      <c r="H1187" s="46"/>
      <c r="I1187" s="46"/>
      <c r="J1187" s="46"/>
      <c r="K1187" s="46"/>
      <c r="L1187" s="46"/>
      <c r="M1187" s="46" t="str">
        <f aca="false">IF(OR(B1187="",I1187=""),"",IFERROR(INDEX('Comment flow'!$C$40:$C$46,MATCH(I1187,'Comment flow'!$A$40:$A$46,0)),""))</f>
        <v/>
      </c>
      <c r="N1187" s="46" t="str">
        <f aca="false">IF(B1187="","",IF(OR(I1187="",I1187="Open: needs a decision",L1187=""),"Open","Closed"))</f>
        <v/>
      </c>
      <c r="O1187" s="46"/>
      <c r="P1187" s="46" t="str">
        <f aca="false">IF(OR(B1187="",I1187&lt;&gt;"Save for a later revision"),"",IF(COUNTIF('Deferred edits'!$K$2:$K$201,A1187)&gt;0,"Yes","● Add to Deferred edits"))</f>
        <v/>
      </c>
    </row>
    <row r="1188" customFormat="false" ht="15" hidden="false" customHeight="false" outlineLevel="0" collapsed="false">
      <c r="A1188" s="46" t="s">
        <v>1483</v>
      </c>
      <c r="B1188" s="46"/>
      <c r="C1188" s="46"/>
      <c r="D1188" s="46"/>
      <c r="E1188" s="46"/>
      <c r="F1188" s="46"/>
      <c r="G1188" s="46"/>
      <c r="H1188" s="46"/>
      <c r="I1188" s="46"/>
      <c r="J1188" s="46"/>
      <c r="K1188" s="46"/>
      <c r="L1188" s="46"/>
      <c r="M1188" s="46" t="str">
        <f aca="false">IF(OR(B1188="",I1188=""),"",IFERROR(INDEX('Comment flow'!$C$40:$C$46,MATCH(I1188,'Comment flow'!$A$40:$A$46,0)),""))</f>
        <v/>
      </c>
      <c r="N1188" s="46" t="str">
        <f aca="false">IF(B1188="","",IF(OR(I1188="",I1188="Open: needs a decision",L1188=""),"Open","Closed"))</f>
        <v/>
      </c>
      <c r="O1188" s="46"/>
      <c r="P1188" s="46" t="str">
        <f aca="false">IF(OR(B1188="",I1188&lt;&gt;"Save for a later revision"),"",IF(COUNTIF('Deferred edits'!$K$2:$K$201,A1188)&gt;0,"Yes","● Add to Deferred edits"))</f>
        <v/>
      </c>
    </row>
    <row r="1189" customFormat="false" ht="15" hidden="false" customHeight="false" outlineLevel="0" collapsed="false">
      <c r="A1189" s="46" t="s">
        <v>1484</v>
      </c>
      <c r="B1189" s="46"/>
      <c r="C1189" s="46"/>
      <c r="D1189" s="46"/>
      <c r="E1189" s="46"/>
      <c r="F1189" s="46"/>
      <c r="G1189" s="46"/>
      <c r="H1189" s="46"/>
      <c r="I1189" s="46"/>
      <c r="J1189" s="46"/>
      <c r="K1189" s="46"/>
      <c r="L1189" s="46"/>
      <c r="M1189" s="46" t="str">
        <f aca="false">IF(OR(B1189="",I1189=""),"",IFERROR(INDEX('Comment flow'!$C$40:$C$46,MATCH(I1189,'Comment flow'!$A$40:$A$46,0)),""))</f>
        <v/>
      </c>
      <c r="N1189" s="46" t="str">
        <f aca="false">IF(B1189="","",IF(OR(I1189="",I1189="Open: needs a decision",L1189=""),"Open","Closed"))</f>
        <v/>
      </c>
      <c r="O1189" s="46"/>
      <c r="P1189" s="46" t="str">
        <f aca="false">IF(OR(B1189="",I1189&lt;&gt;"Save for a later revision"),"",IF(COUNTIF('Deferred edits'!$K$2:$K$201,A1189)&gt;0,"Yes","● Add to Deferred edits"))</f>
        <v/>
      </c>
    </row>
    <row r="1190" customFormat="false" ht="15" hidden="false" customHeight="false" outlineLevel="0" collapsed="false">
      <c r="A1190" s="46" t="s">
        <v>1485</v>
      </c>
      <c r="B1190" s="46"/>
      <c r="C1190" s="46"/>
      <c r="D1190" s="46"/>
      <c r="E1190" s="46"/>
      <c r="F1190" s="46"/>
      <c r="G1190" s="46"/>
      <c r="H1190" s="46"/>
      <c r="I1190" s="46"/>
      <c r="J1190" s="46"/>
      <c r="K1190" s="46"/>
      <c r="L1190" s="46"/>
      <c r="M1190" s="46" t="str">
        <f aca="false">IF(OR(B1190="",I1190=""),"",IFERROR(INDEX('Comment flow'!$C$40:$C$46,MATCH(I1190,'Comment flow'!$A$40:$A$46,0)),""))</f>
        <v/>
      </c>
      <c r="N1190" s="46" t="str">
        <f aca="false">IF(B1190="","",IF(OR(I1190="",I1190="Open: needs a decision",L1190=""),"Open","Closed"))</f>
        <v/>
      </c>
      <c r="O1190" s="46"/>
      <c r="P1190" s="46" t="str">
        <f aca="false">IF(OR(B1190="",I1190&lt;&gt;"Save for a later revision"),"",IF(COUNTIF('Deferred edits'!$K$2:$K$201,A1190)&gt;0,"Yes","● Add to Deferred edits"))</f>
        <v/>
      </c>
    </row>
    <row r="1191" customFormat="false" ht="15" hidden="false" customHeight="false" outlineLevel="0" collapsed="false">
      <c r="A1191" s="46" t="s">
        <v>1486</v>
      </c>
      <c r="B1191" s="46"/>
      <c r="C1191" s="46"/>
      <c r="D1191" s="46"/>
      <c r="E1191" s="46"/>
      <c r="F1191" s="46"/>
      <c r="G1191" s="46"/>
      <c r="H1191" s="46"/>
      <c r="I1191" s="46"/>
      <c r="J1191" s="46"/>
      <c r="K1191" s="46"/>
      <c r="L1191" s="46"/>
      <c r="M1191" s="46" t="str">
        <f aca="false">IF(OR(B1191="",I1191=""),"",IFERROR(INDEX('Comment flow'!$C$40:$C$46,MATCH(I1191,'Comment flow'!$A$40:$A$46,0)),""))</f>
        <v/>
      </c>
      <c r="N1191" s="46" t="str">
        <f aca="false">IF(B1191="","",IF(OR(I1191="",I1191="Open: needs a decision",L1191=""),"Open","Closed"))</f>
        <v/>
      </c>
      <c r="O1191" s="46"/>
      <c r="P1191" s="46" t="str">
        <f aca="false">IF(OR(B1191="",I1191&lt;&gt;"Save for a later revision"),"",IF(COUNTIF('Deferred edits'!$K$2:$K$201,A1191)&gt;0,"Yes","● Add to Deferred edits"))</f>
        <v/>
      </c>
    </row>
    <row r="1192" customFormat="false" ht="15" hidden="false" customHeight="false" outlineLevel="0" collapsed="false">
      <c r="A1192" s="46" t="s">
        <v>1487</v>
      </c>
      <c r="B1192" s="46"/>
      <c r="C1192" s="46"/>
      <c r="D1192" s="46"/>
      <c r="E1192" s="46"/>
      <c r="F1192" s="46"/>
      <c r="G1192" s="46"/>
      <c r="H1192" s="46"/>
      <c r="I1192" s="46"/>
      <c r="J1192" s="46"/>
      <c r="K1192" s="46"/>
      <c r="L1192" s="46"/>
      <c r="M1192" s="46" t="str">
        <f aca="false">IF(OR(B1192="",I1192=""),"",IFERROR(INDEX('Comment flow'!$C$40:$C$46,MATCH(I1192,'Comment flow'!$A$40:$A$46,0)),""))</f>
        <v/>
      </c>
      <c r="N1192" s="46" t="str">
        <f aca="false">IF(B1192="","",IF(OR(I1192="",I1192="Open: needs a decision",L1192=""),"Open","Closed"))</f>
        <v/>
      </c>
      <c r="O1192" s="46"/>
      <c r="P1192" s="46" t="str">
        <f aca="false">IF(OR(B1192="",I1192&lt;&gt;"Save for a later revision"),"",IF(COUNTIF('Deferred edits'!$K$2:$K$201,A1192)&gt;0,"Yes","● Add to Deferred edits"))</f>
        <v/>
      </c>
    </row>
    <row r="1193" customFormat="false" ht="15" hidden="false" customHeight="false" outlineLevel="0" collapsed="false">
      <c r="A1193" s="46" t="s">
        <v>1488</v>
      </c>
      <c r="B1193" s="46"/>
      <c r="C1193" s="46"/>
      <c r="D1193" s="46"/>
      <c r="E1193" s="46"/>
      <c r="F1193" s="46"/>
      <c r="G1193" s="46"/>
      <c r="H1193" s="46"/>
      <c r="I1193" s="46"/>
      <c r="J1193" s="46"/>
      <c r="K1193" s="46"/>
      <c r="L1193" s="46"/>
      <c r="M1193" s="46" t="str">
        <f aca="false">IF(OR(B1193="",I1193=""),"",IFERROR(INDEX('Comment flow'!$C$40:$C$46,MATCH(I1193,'Comment flow'!$A$40:$A$46,0)),""))</f>
        <v/>
      </c>
      <c r="N1193" s="46" t="str">
        <f aca="false">IF(B1193="","",IF(OR(I1193="",I1193="Open: needs a decision",L1193=""),"Open","Closed"))</f>
        <v/>
      </c>
      <c r="O1193" s="46"/>
      <c r="P1193" s="46" t="str">
        <f aca="false">IF(OR(B1193="",I1193&lt;&gt;"Save for a later revision"),"",IF(COUNTIF('Deferred edits'!$K$2:$K$201,A1193)&gt;0,"Yes","● Add to Deferred edits"))</f>
        <v/>
      </c>
    </row>
    <row r="1194" customFormat="false" ht="15" hidden="false" customHeight="false" outlineLevel="0" collapsed="false">
      <c r="A1194" s="46" t="s">
        <v>1489</v>
      </c>
      <c r="B1194" s="46"/>
      <c r="C1194" s="46"/>
      <c r="D1194" s="46"/>
      <c r="E1194" s="46"/>
      <c r="F1194" s="46"/>
      <c r="G1194" s="46"/>
      <c r="H1194" s="46"/>
      <c r="I1194" s="46"/>
      <c r="J1194" s="46"/>
      <c r="K1194" s="46"/>
      <c r="L1194" s="46"/>
      <c r="M1194" s="46" t="str">
        <f aca="false">IF(OR(B1194="",I1194=""),"",IFERROR(INDEX('Comment flow'!$C$40:$C$46,MATCH(I1194,'Comment flow'!$A$40:$A$46,0)),""))</f>
        <v/>
      </c>
      <c r="N1194" s="46" t="str">
        <f aca="false">IF(B1194="","",IF(OR(I1194="",I1194="Open: needs a decision",L1194=""),"Open","Closed"))</f>
        <v/>
      </c>
      <c r="O1194" s="46"/>
      <c r="P1194" s="46" t="str">
        <f aca="false">IF(OR(B1194="",I1194&lt;&gt;"Save for a later revision"),"",IF(COUNTIF('Deferred edits'!$K$2:$K$201,A1194)&gt;0,"Yes","● Add to Deferred edits"))</f>
        <v/>
      </c>
    </row>
    <row r="1195" customFormat="false" ht="15" hidden="false" customHeight="false" outlineLevel="0" collapsed="false">
      <c r="A1195" s="46" t="s">
        <v>1490</v>
      </c>
      <c r="B1195" s="46"/>
      <c r="C1195" s="46"/>
      <c r="D1195" s="46"/>
      <c r="E1195" s="46"/>
      <c r="F1195" s="46"/>
      <c r="G1195" s="46"/>
      <c r="H1195" s="46"/>
      <c r="I1195" s="46"/>
      <c r="J1195" s="46"/>
      <c r="K1195" s="46"/>
      <c r="L1195" s="46"/>
      <c r="M1195" s="46" t="str">
        <f aca="false">IF(OR(B1195="",I1195=""),"",IFERROR(INDEX('Comment flow'!$C$40:$C$46,MATCH(I1195,'Comment flow'!$A$40:$A$46,0)),""))</f>
        <v/>
      </c>
      <c r="N1195" s="46" t="str">
        <f aca="false">IF(B1195="","",IF(OR(I1195="",I1195="Open: needs a decision",L1195=""),"Open","Closed"))</f>
        <v/>
      </c>
      <c r="O1195" s="46"/>
      <c r="P1195" s="46" t="str">
        <f aca="false">IF(OR(B1195="",I1195&lt;&gt;"Save for a later revision"),"",IF(COUNTIF('Deferred edits'!$K$2:$K$201,A1195)&gt;0,"Yes","● Add to Deferred edits"))</f>
        <v/>
      </c>
    </row>
    <row r="1196" customFormat="false" ht="15" hidden="false" customHeight="false" outlineLevel="0" collapsed="false">
      <c r="A1196" s="46" t="s">
        <v>1491</v>
      </c>
      <c r="B1196" s="46"/>
      <c r="C1196" s="46"/>
      <c r="D1196" s="46"/>
      <c r="E1196" s="46"/>
      <c r="F1196" s="46"/>
      <c r="G1196" s="46"/>
      <c r="H1196" s="46"/>
      <c r="I1196" s="46"/>
      <c r="J1196" s="46"/>
      <c r="K1196" s="46"/>
      <c r="L1196" s="46"/>
      <c r="M1196" s="46" t="str">
        <f aca="false">IF(OR(B1196="",I1196=""),"",IFERROR(INDEX('Comment flow'!$C$40:$C$46,MATCH(I1196,'Comment flow'!$A$40:$A$46,0)),""))</f>
        <v/>
      </c>
      <c r="N1196" s="46" t="str">
        <f aca="false">IF(B1196="","",IF(OR(I1196="",I1196="Open: needs a decision",L1196=""),"Open","Closed"))</f>
        <v/>
      </c>
      <c r="O1196" s="46"/>
      <c r="P1196" s="46" t="str">
        <f aca="false">IF(OR(B1196="",I1196&lt;&gt;"Save for a later revision"),"",IF(COUNTIF('Deferred edits'!$K$2:$K$201,A1196)&gt;0,"Yes","● Add to Deferred edits"))</f>
        <v/>
      </c>
    </row>
    <row r="1197" customFormat="false" ht="15" hidden="false" customHeight="false" outlineLevel="0" collapsed="false">
      <c r="A1197" s="46" t="s">
        <v>1492</v>
      </c>
      <c r="B1197" s="46"/>
      <c r="C1197" s="46"/>
      <c r="D1197" s="46"/>
      <c r="E1197" s="46"/>
      <c r="F1197" s="46"/>
      <c r="G1197" s="46"/>
      <c r="H1197" s="46"/>
      <c r="I1197" s="46"/>
      <c r="J1197" s="46"/>
      <c r="K1197" s="46"/>
      <c r="L1197" s="46"/>
      <c r="M1197" s="46" t="str">
        <f aca="false">IF(OR(B1197="",I1197=""),"",IFERROR(INDEX('Comment flow'!$C$40:$C$46,MATCH(I1197,'Comment flow'!$A$40:$A$46,0)),""))</f>
        <v/>
      </c>
      <c r="N1197" s="46" t="str">
        <f aca="false">IF(B1197="","",IF(OR(I1197="",I1197="Open: needs a decision",L1197=""),"Open","Closed"))</f>
        <v/>
      </c>
      <c r="O1197" s="46"/>
      <c r="P1197" s="46" t="str">
        <f aca="false">IF(OR(B1197="",I1197&lt;&gt;"Save for a later revision"),"",IF(COUNTIF('Deferred edits'!$K$2:$K$201,A1197)&gt;0,"Yes","● Add to Deferred edits"))</f>
        <v/>
      </c>
    </row>
    <row r="1198" customFormat="false" ht="15" hidden="false" customHeight="false" outlineLevel="0" collapsed="false">
      <c r="A1198" s="46" t="s">
        <v>1493</v>
      </c>
      <c r="B1198" s="46"/>
      <c r="C1198" s="46"/>
      <c r="D1198" s="46"/>
      <c r="E1198" s="46"/>
      <c r="F1198" s="46"/>
      <c r="G1198" s="46"/>
      <c r="H1198" s="46"/>
      <c r="I1198" s="46"/>
      <c r="J1198" s="46"/>
      <c r="K1198" s="46"/>
      <c r="L1198" s="46"/>
      <c r="M1198" s="46" t="str">
        <f aca="false">IF(OR(B1198="",I1198=""),"",IFERROR(INDEX('Comment flow'!$C$40:$C$46,MATCH(I1198,'Comment flow'!$A$40:$A$46,0)),""))</f>
        <v/>
      </c>
      <c r="N1198" s="46" t="str">
        <f aca="false">IF(B1198="","",IF(OR(I1198="",I1198="Open: needs a decision",L1198=""),"Open","Closed"))</f>
        <v/>
      </c>
      <c r="O1198" s="46"/>
      <c r="P1198" s="46" t="str">
        <f aca="false">IF(OR(B1198="",I1198&lt;&gt;"Save for a later revision"),"",IF(COUNTIF('Deferred edits'!$K$2:$K$201,A1198)&gt;0,"Yes","● Add to Deferred edits"))</f>
        <v/>
      </c>
    </row>
    <row r="1199" customFormat="false" ht="15" hidden="false" customHeight="false" outlineLevel="0" collapsed="false">
      <c r="A1199" s="46" t="s">
        <v>1494</v>
      </c>
      <c r="B1199" s="46"/>
      <c r="C1199" s="46"/>
      <c r="D1199" s="46"/>
      <c r="E1199" s="46"/>
      <c r="F1199" s="46"/>
      <c r="G1199" s="46"/>
      <c r="H1199" s="46"/>
      <c r="I1199" s="46"/>
      <c r="J1199" s="46"/>
      <c r="K1199" s="46"/>
      <c r="L1199" s="46"/>
      <c r="M1199" s="46" t="str">
        <f aca="false">IF(OR(B1199="",I1199=""),"",IFERROR(INDEX('Comment flow'!$C$40:$C$46,MATCH(I1199,'Comment flow'!$A$40:$A$46,0)),""))</f>
        <v/>
      </c>
      <c r="N1199" s="46" t="str">
        <f aca="false">IF(B1199="","",IF(OR(I1199="",I1199="Open: needs a decision",L1199=""),"Open","Closed"))</f>
        <v/>
      </c>
      <c r="O1199" s="46"/>
      <c r="P1199" s="46" t="str">
        <f aca="false">IF(OR(B1199="",I1199&lt;&gt;"Save for a later revision"),"",IF(COUNTIF('Deferred edits'!$K$2:$K$201,A1199)&gt;0,"Yes","● Add to Deferred edits"))</f>
        <v/>
      </c>
    </row>
    <row r="1200" customFormat="false" ht="15" hidden="false" customHeight="false" outlineLevel="0" collapsed="false">
      <c r="A1200" s="46" t="s">
        <v>1495</v>
      </c>
      <c r="B1200" s="46"/>
      <c r="C1200" s="46"/>
      <c r="D1200" s="46"/>
      <c r="E1200" s="46"/>
      <c r="F1200" s="46"/>
      <c r="G1200" s="46"/>
      <c r="H1200" s="46"/>
      <c r="I1200" s="46"/>
      <c r="J1200" s="46"/>
      <c r="K1200" s="46"/>
      <c r="L1200" s="46"/>
      <c r="M1200" s="46" t="str">
        <f aca="false">IF(OR(B1200="",I1200=""),"",IFERROR(INDEX('Comment flow'!$C$40:$C$46,MATCH(I1200,'Comment flow'!$A$40:$A$46,0)),""))</f>
        <v/>
      </c>
      <c r="N1200" s="46" t="str">
        <f aca="false">IF(B1200="","",IF(OR(I1200="",I1200="Open: needs a decision",L1200=""),"Open","Closed"))</f>
        <v/>
      </c>
      <c r="O1200" s="46"/>
      <c r="P1200" s="46" t="str">
        <f aca="false">IF(OR(B1200="",I1200&lt;&gt;"Save for a later revision"),"",IF(COUNTIF('Deferred edits'!$K$2:$K$201,A1200)&gt;0,"Yes","● Add to Deferred edits"))</f>
        <v/>
      </c>
    </row>
    <row r="1201" customFormat="false" ht="15" hidden="false" customHeight="false" outlineLevel="0" collapsed="false">
      <c r="A1201" s="46" t="s">
        <v>1496</v>
      </c>
      <c r="B1201" s="46"/>
      <c r="C1201" s="46"/>
      <c r="D1201" s="46"/>
      <c r="E1201" s="46"/>
      <c r="F1201" s="46"/>
      <c r="G1201" s="46"/>
      <c r="H1201" s="46"/>
      <c r="I1201" s="46"/>
      <c r="J1201" s="46"/>
      <c r="K1201" s="46"/>
      <c r="L1201" s="46"/>
      <c r="M1201" s="46" t="str">
        <f aca="false">IF(OR(B1201="",I1201=""),"",IFERROR(INDEX('Comment flow'!$C$40:$C$46,MATCH(I1201,'Comment flow'!$A$40:$A$46,0)),""))</f>
        <v/>
      </c>
      <c r="N1201" s="46" t="str">
        <f aca="false">IF(B1201="","",IF(OR(I1201="",I1201="Open: needs a decision",L1201=""),"Open","Closed"))</f>
        <v/>
      </c>
      <c r="O1201" s="46"/>
      <c r="P1201" s="46" t="str">
        <f aca="false">IF(OR(B1201="",I1201&lt;&gt;"Save for a later revision"),"",IF(COUNTIF('Deferred edits'!$K$2:$K$201,A1201)&gt;0,"Yes","● Add to Deferred edits"))</f>
        <v/>
      </c>
    </row>
    <row r="1202" customFormat="false" ht="15" hidden="false" customHeight="false" outlineLevel="0" collapsed="false">
      <c r="A1202" s="46" t="s">
        <v>1497</v>
      </c>
      <c r="B1202" s="46"/>
      <c r="C1202" s="46"/>
      <c r="D1202" s="46"/>
      <c r="E1202" s="46"/>
      <c r="F1202" s="46"/>
      <c r="G1202" s="46"/>
      <c r="H1202" s="46"/>
      <c r="I1202" s="46"/>
      <c r="J1202" s="46"/>
      <c r="K1202" s="46"/>
      <c r="L1202" s="46"/>
      <c r="M1202" s="46" t="str">
        <f aca="false">IF(OR(B1202="",I1202=""),"",IFERROR(INDEX('Comment flow'!$C$40:$C$46,MATCH(I1202,'Comment flow'!$A$40:$A$46,0)),""))</f>
        <v/>
      </c>
      <c r="N1202" s="46" t="str">
        <f aca="false">IF(B1202="","",IF(OR(I1202="",I1202="Open: needs a decision",L1202=""),"Open","Closed"))</f>
        <v/>
      </c>
      <c r="O1202" s="46"/>
      <c r="P1202" s="46" t="str">
        <f aca="false">IF(OR(B1202="",I1202&lt;&gt;"Save for a later revision"),"",IF(COUNTIF('Deferred edits'!$K$2:$K$201,A1202)&gt;0,"Yes","● Add to Deferred edits"))</f>
        <v/>
      </c>
    </row>
    <row r="1203" customFormat="false" ht="15" hidden="false" customHeight="false" outlineLevel="0" collapsed="false">
      <c r="A1203" s="46" t="s">
        <v>1498</v>
      </c>
      <c r="B1203" s="46"/>
      <c r="C1203" s="46"/>
      <c r="D1203" s="46"/>
      <c r="E1203" s="46"/>
      <c r="F1203" s="46"/>
      <c r="G1203" s="46"/>
      <c r="H1203" s="46"/>
      <c r="I1203" s="46"/>
      <c r="J1203" s="46"/>
      <c r="K1203" s="46"/>
      <c r="L1203" s="46"/>
      <c r="M1203" s="46" t="str">
        <f aca="false">IF(OR(B1203="",I1203=""),"",IFERROR(INDEX('Comment flow'!$C$40:$C$46,MATCH(I1203,'Comment flow'!$A$40:$A$46,0)),""))</f>
        <v/>
      </c>
      <c r="N1203" s="46" t="str">
        <f aca="false">IF(B1203="","",IF(OR(I1203="",I1203="Open: needs a decision",L1203=""),"Open","Closed"))</f>
        <v/>
      </c>
      <c r="O1203" s="46"/>
      <c r="P1203" s="46" t="str">
        <f aca="false">IF(OR(B1203="",I1203&lt;&gt;"Save for a later revision"),"",IF(COUNTIF('Deferred edits'!$K$2:$K$201,A1203)&gt;0,"Yes","● Add to Deferred edits"))</f>
        <v/>
      </c>
    </row>
    <row r="1204" customFormat="false" ht="15" hidden="false" customHeight="false" outlineLevel="0" collapsed="false">
      <c r="A1204" s="46" t="s">
        <v>1499</v>
      </c>
      <c r="B1204" s="46"/>
      <c r="C1204" s="46"/>
      <c r="D1204" s="46"/>
      <c r="E1204" s="46"/>
      <c r="F1204" s="46"/>
      <c r="G1204" s="46"/>
      <c r="H1204" s="46"/>
      <c r="I1204" s="46"/>
      <c r="J1204" s="46"/>
      <c r="K1204" s="46"/>
      <c r="L1204" s="46"/>
      <c r="M1204" s="46" t="str">
        <f aca="false">IF(OR(B1204="",I1204=""),"",IFERROR(INDEX('Comment flow'!$C$40:$C$46,MATCH(I1204,'Comment flow'!$A$40:$A$46,0)),""))</f>
        <v/>
      </c>
      <c r="N1204" s="46" t="str">
        <f aca="false">IF(B1204="","",IF(OR(I1204="",I1204="Open: needs a decision",L1204=""),"Open","Closed"))</f>
        <v/>
      </c>
      <c r="O1204" s="46"/>
      <c r="P1204" s="46" t="str">
        <f aca="false">IF(OR(B1204="",I1204&lt;&gt;"Save for a later revision"),"",IF(COUNTIF('Deferred edits'!$K$2:$K$201,A1204)&gt;0,"Yes","● Add to Deferred edits"))</f>
        <v/>
      </c>
    </row>
    <row r="1205" customFormat="false" ht="15" hidden="false" customHeight="false" outlineLevel="0" collapsed="false">
      <c r="A1205" s="46" t="s">
        <v>1500</v>
      </c>
      <c r="B1205" s="46"/>
      <c r="C1205" s="46"/>
      <c r="D1205" s="46"/>
      <c r="E1205" s="46"/>
      <c r="F1205" s="46"/>
      <c r="G1205" s="46"/>
      <c r="H1205" s="46"/>
      <c r="I1205" s="46"/>
      <c r="J1205" s="46"/>
      <c r="K1205" s="46"/>
      <c r="L1205" s="46"/>
      <c r="M1205" s="46" t="str">
        <f aca="false">IF(OR(B1205="",I1205=""),"",IFERROR(INDEX('Comment flow'!$C$40:$C$46,MATCH(I1205,'Comment flow'!$A$40:$A$46,0)),""))</f>
        <v/>
      </c>
      <c r="N1205" s="46" t="str">
        <f aca="false">IF(B1205="","",IF(OR(I1205="",I1205="Open: needs a decision",L1205=""),"Open","Closed"))</f>
        <v/>
      </c>
      <c r="O1205" s="46"/>
      <c r="P1205" s="46" t="str">
        <f aca="false">IF(OR(B1205="",I1205&lt;&gt;"Save for a later revision"),"",IF(COUNTIF('Deferred edits'!$K$2:$K$201,A1205)&gt;0,"Yes","● Add to Deferred edits"))</f>
        <v/>
      </c>
    </row>
    <row r="1206" customFormat="false" ht="15" hidden="false" customHeight="false" outlineLevel="0" collapsed="false">
      <c r="A1206" s="46" t="s">
        <v>1501</v>
      </c>
      <c r="B1206" s="46"/>
      <c r="C1206" s="46"/>
      <c r="D1206" s="46"/>
      <c r="E1206" s="46"/>
      <c r="F1206" s="46"/>
      <c r="G1206" s="46"/>
      <c r="H1206" s="46"/>
      <c r="I1206" s="46"/>
      <c r="J1206" s="46"/>
      <c r="K1206" s="46"/>
      <c r="L1206" s="46"/>
      <c r="M1206" s="46" t="str">
        <f aca="false">IF(OR(B1206="",I1206=""),"",IFERROR(INDEX('Comment flow'!$C$40:$C$46,MATCH(I1206,'Comment flow'!$A$40:$A$46,0)),""))</f>
        <v/>
      </c>
      <c r="N1206" s="46" t="str">
        <f aca="false">IF(B1206="","",IF(OR(I1206="",I1206="Open: needs a decision",L1206=""),"Open","Closed"))</f>
        <v/>
      </c>
      <c r="O1206" s="46"/>
      <c r="P1206" s="46" t="str">
        <f aca="false">IF(OR(B1206="",I1206&lt;&gt;"Save for a later revision"),"",IF(COUNTIF('Deferred edits'!$K$2:$K$201,A1206)&gt;0,"Yes","● Add to Deferred edits"))</f>
        <v/>
      </c>
    </row>
    <row r="1207" customFormat="false" ht="15" hidden="false" customHeight="false" outlineLevel="0" collapsed="false">
      <c r="A1207" s="46" t="s">
        <v>1502</v>
      </c>
      <c r="B1207" s="46"/>
      <c r="C1207" s="46"/>
      <c r="D1207" s="46"/>
      <c r="E1207" s="46"/>
      <c r="F1207" s="46"/>
      <c r="G1207" s="46"/>
      <c r="H1207" s="46"/>
      <c r="I1207" s="46"/>
      <c r="J1207" s="46"/>
      <c r="K1207" s="46"/>
      <c r="L1207" s="46"/>
      <c r="M1207" s="46" t="str">
        <f aca="false">IF(OR(B1207="",I1207=""),"",IFERROR(INDEX('Comment flow'!$C$40:$C$46,MATCH(I1207,'Comment flow'!$A$40:$A$46,0)),""))</f>
        <v/>
      </c>
      <c r="N1207" s="46" t="str">
        <f aca="false">IF(B1207="","",IF(OR(I1207="",I1207="Open: needs a decision",L1207=""),"Open","Closed"))</f>
        <v/>
      </c>
      <c r="O1207" s="46"/>
      <c r="P1207" s="46" t="str">
        <f aca="false">IF(OR(B1207="",I1207&lt;&gt;"Save for a later revision"),"",IF(COUNTIF('Deferred edits'!$K$2:$K$201,A1207)&gt;0,"Yes","● Add to Deferred edits"))</f>
        <v/>
      </c>
    </row>
    <row r="1208" customFormat="false" ht="15" hidden="false" customHeight="false" outlineLevel="0" collapsed="false">
      <c r="A1208" s="46" t="s">
        <v>1503</v>
      </c>
      <c r="B1208" s="46"/>
      <c r="C1208" s="46"/>
      <c r="D1208" s="46"/>
      <c r="E1208" s="46"/>
      <c r="F1208" s="46"/>
      <c r="G1208" s="46"/>
      <c r="H1208" s="46"/>
      <c r="I1208" s="46"/>
      <c r="J1208" s="46"/>
      <c r="K1208" s="46"/>
      <c r="L1208" s="46"/>
      <c r="M1208" s="46" t="str">
        <f aca="false">IF(OR(B1208="",I1208=""),"",IFERROR(INDEX('Comment flow'!$C$40:$C$46,MATCH(I1208,'Comment flow'!$A$40:$A$46,0)),""))</f>
        <v/>
      </c>
      <c r="N1208" s="46" t="str">
        <f aca="false">IF(B1208="","",IF(OR(I1208="",I1208="Open: needs a decision",L1208=""),"Open","Closed"))</f>
        <v/>
      </c>
      <c r="O1208" s="46"/>
      <c r="P1208" s="46" t="str">
        <f aca="false">IF(OR(B1208="",I1208&lt;&gt;"Save for a later revision"),"",IF(COUNTIF('Deferred edits'!$K$2:$K$201,A1208)&gt;0,"Yes","● Add to Deferred edits"))</f>
        <v/>
      </c>
    </row>
    <row r="1209" customFormat="false" ht="15" hidden="false" customHeight="false" outlineLevel="0" collapsed="false">
      <c r="A1209" s="46" t="s">
        <v>1504</v>
      </c>
      <c r="B1209" s="46"/>
      <c r="C1209" s="46"/>
      <c r="D1209" s="46"/>
      <c r="E1209" s="46"/>
      <c r="F1209" s="46"/>
      <c r="G1209" s="46"/>
      <c r="H1209" s="46"/>
      <c r="I1209" s="46"/>
      <c r="J1209" s="46"/>
      <c r="K1209" s="46"/>
      <c r="L1209" s="46"/>
      <c r="M1209" s="46" t="str">
        <f aca="false">IF(OR(B1209="",I1209=""),"",IFERROR(INDEX('Comment flow'!$C$40:$C$46,MATCH(I1209,'Comment flow'!$A$40:$A$46,0)),""))</f>
        <v/>
      </c>
      <c r="N1209" s="46" t="str">
        <f aca="false">IF(B1209="","",IF(OR(I1209="",I1209="Open: needs a decision",L1209=""),"Open","Closed"))</f>
        <v/>
      </c>
      <c r="O1209" s="46"/>
      <c r="P1209" s="46" t="str">
        <f aca="false">IF(OR(B1209="",I1209&lt;&gt;"Save for a later revision"),"",IF(COUNTIF('Deferred edits'!$K$2:$K$201,A1209)&gt;0,"Yes","● Add to Deferred edits"))</f>
        <v/>
      </c>
    </row>
    <row r="1210" customFormat="false" ht="15" hidden="false" customHeight="false" outlineLevel="0" collapsed="false">
      <c r="A1210" s="46" t="s">
        <v>1505</v>
      </c>
      <c r="B1210" s="46"/>
      <c r="C1210" s="46"/>
      <c r="D1210" s="46"/>
      <c r="E1210" s="46"/>
      <c r="F1210" s="46"/>
      <c r="G1210" s="46"/>
      <c r="H1210" s="46"/>
      <c r="I1210" s="46"/>
      <c r="J1210" s="46"/>
      <c r="K1210" s="46"/>
      <c r="L1210" s="46"/>
      <c r="M1210" s="46" t="str">
        <f aca="false">IF(OR(B1210="",I1210=""),"",IFERROR(INDEX('Comment flow'!$C$40:$C$46,MATCH(I1210,'Comment flow'!$A$40:$A$46,0)),""))</f>
        <v/>
      </c>
      <c r="N1210" s="46" t="str">
        <f aca="false">IF(B1210="","",IF(OR(I1210="",I1210="Open: needs a decision",L1210=""),"Open","Closed"))</f>
        <v/>
      </c>
      <c r="O1210" s="46"/>
      <c r="P1210" s="46" t="str">
        <f aca="false">IF(OR(B1210="",I1210&lt;&gt;"Save for a later revision"),"",IF(COUNTIF('Deferred edits'!$K$2:$K$201,A1210)&gt;0,"Yes","● Add to Deferred edits"))</f>
        <v/>
      </c>
    </row>
    <row r="1211" customFormat="false" ht="15" hidden="false" customHeight="false" outlineLevel="0" collapsed="false">
      <c r="A1211" s="46" t="s">
        <v>1506</v>
      </c>
      <c r="B1211" s="46"/>
      <c r="C1211" s="46"/>
      <c r="D1211" s="46"/>
      <c r="E1211" s="46"/>
      <c r="F1211" s="46"/>
      <c r="G1211" s="46"/>
      <c r="H1211" s="46"/>
      <c r="I1211" s="46"/>
      <c r="J1211" s="46"/>
      <c r="K1211" s="46"/>
      <c r="L1211" s="46"/>
      <c r="M1211" s="46" t="str">
        <f aca="false">IF(OR(B1211="",I1211=""),"",IFERROR(INDEX('Comment flow'!$C$40:$C$46,MATCH(I1211,'Comment flow'!$A$40:$A$46,0)),""))</f>
        <v/>
      </c>
      <c r="N1211" s="46" t="str">
        <f aca="false">IF(B1211="","",IF(OR(I1211="",I1211="Open: needs a decision",L1211=""),"Open","Closed"))</f>
        <v/>
      </c>
      <c r="O1211" s="46"/>
      <c r="P1211" s="46" t="str">
        <f aca="false">IF(OR(B1211="",I1211&lt;&gt;"Save for a later revision"),"",IF(COUNTIF('Deferred edits'!$K$2:$K$201,A1211)&gt;0,"Yes","● Add to Deferred edits"))</f>
        <v/>
      </c>
    </row>
    <row r="1212" customFormat="false" ht="15" hidden="false" customHeight="false" outlineLevel="0" collapsed="false">
      <c r="A1212" s="46" t="s">
        <v>1507</v>
      </c>
      <c r="B1212" s="46"/>
      <c r="C1212" s="46"/>
      <c r="D1212" s="46"/>
      <c r="E1212" s="46"/>
      <c r="F1212" s="46"/>
      <c r="G1212" s="46"/>
      <c r="H1212" s="46"/>
      <c r="I1212" s="46"/>
      <c r="J1212" s="46"/>
      <c r="K1212" s="46"/>
      <c r="L1212" s="46"/>
      <c r="M1212" s="46" t="str">
        <f aca="false">IF(OR(B1212="",I1212=""),"",IFERROR(INDEX('Comment flow'!$C$40:$C$46,MATCH(I1212,'Comment flow'!$A$40:$A$46,0)),""))</f>
        <v/>
      </c>
      <c r="N1212" s="46" t="str">
        <f aca="false">IF(B1212="","",IF(OR(I1212="",I1212="Open: needs a decision",L1212=""),"Open","Closed"))</f>
        <v/>
      </c>
      <c r="O1212" s="46"/>
      <c r="P1212" s="46" t="str">
        <f aca="false">IF(OR(B1212="",I1212&lt;&gt;"Save for a later revision"),"",IF(COUNTIF('Deferred edits'!$K$2:$K$201,A1212)&gt;0,"Yes","● Add to Deferred edits"))</f>
        <v/>
      </c>
    </row>
    <row r="1213" customFormat="false" ht="15" hidden="false" customHeight="false" outlineLevel="0" collapsed="false">
      <c r="A1213" s="46" t="s">
        <v>1508</v>
      </c>
      <c r="B1213" s="46"/>
      <c r="C1213" s="46"/>
      <c r="D1213" s="46"/>
      <c r="E1213" s="46"/>
      <c r="F1213" s="46"/>
      <c r="G1213" s="46"/>
      <c r="H1213" s="46"/>
      <c r="I1213" s="46"/>
      <c r="J1213" s="46"/>
      <c r="K1213" s="46"/>
      <c r="L1213" s="46"/>
      <c r="M1213" s="46" t="str">
        <f aca="false">IF(OR(B1213="",I1213=""),"",IFERROR(INDEX('Comment flow'!$C$40:$C$46,MATCH(I1213,'Comment flow'!$A$40:$A$46,0)),""))</f>
        <v/>
      </c>
      <c r="N1213" s="46" t="str">
        <f aca="false">IF(B1213="","",IF(OR(I1213="",I1213="Open: needs a decision",L1213=""),"Open","Closed"))</f>
        <v/>
      </c>
      <c r="O1213" s="46"/>
      <c r="P1213" s="46" t="str">
        <f aca="false">IF(OR(B1213="",I1213&lt;&gt;"Save for a later revision"),"",IF(COUNTIF('Deferred edits'!$K$2:$K$201,A1213)&gt;0,"Yes","● Add to Deferred edits"))</f>
        <v/>
      </c>
    </row>
    <row r="1214" customFormat="false" ht="15" hidden="false" customHeight="false" outlineLevel="0" collapsed="false">
      <c r="A1214" s="46" t="s">
        <v>1509</v>
      </c>
      <c r="B1214" s="46"/>
      <c r="C1214" s="46"/>
      <c r="D1214" s="46"/>
      <c r="E1214" s="46"/>
      <c r="F1214" s="46"/>
      <c r="G1214" s="46"/>
      <c r="H1214" s="46"/>
      <c r="I1214" s="46"/>
      <c r="J1214" s="46"/>
      <c r="K1214" s="46"/>
      <c r="L1214" s="46"/>
      <c r="M1214" s="46" t="str">
        <f aca="false">IF(OR(B1214="",I1214=""),"",IFERROR(INDEX('Comment flow'!$C$40:$C$46,MATCH(I1214,'Comment flow'!$A$40:$A$46,0)),""))</f>
        <v/>
      </c>
      <c r="N1214" s="46" t="str">
        <f aca="false">IF(B1214="","",IF(OR(I1214="",I1214="Open: needs a decision",L1214=""),"Open","Closed"))</f>
        <v/>
      </c>
      <c r="O1214" s="46"/>
      <c r="P1214" s="46" t="str">
        <f aca="false">IF(OR(B1214="",I1214&lt;&gt;"Save for a later revision"),"",IF(COUNTIF('Deferred edits'!$K$2:$K$201,A1214)&gt;0,"Yes","● Add to Deferred edits"))</f>
        <v/>
      </c>
    </row>
    <row r="1215" customFormat="false" ht="15" hidden="false" customHeight="false" outlineLevel="0" collapsed="false">
      <c r="A1215" s="46" t="s">
        <v>1510</v>
      </c>
      <c r="B1215" s="46"/>
      <c r="C1215" s="46"/>
      <c r="D1215" s="46"/>
      <c r="E1215" s="46"/>
      <c r="F1215" s="46"/>
      <c r="G1215" s="46"/>
      <c r="H1215" s="46"/>
      <c r="I1215" s="46"/>
      <c r="J1215" s="46"/>
      <c r="K1215" s="46"/>
      <c r="L1215" s="46"/>
      <c r="M1215" s="46" t="str">
        <f aca="false">IF(OR(B1215="",I1215=""),"",IFERROR(INDEX('Comment flow'!$C$40:$C$46,MATCH(I1215,'Comment flow'!$A$40:$A$46,0)),""))</f>
        <v/>
      </c>
      <c r="N1215" s="46" t="str">
        <f aca="false">IF(B1215="","",IF(OR(I1215="",I1215="Open: needs a decision",L1215=""),"Open","Closed"))</f>
        <v/>
      </c>
      <c r="O1215" s="46"/>
      <c r="P1215" s="46" t="str">
        <f aca="false">IF(OR(B1215="",I1215&lt;&gt;"Save for a later revision"),"",IF(COUNTIF('Deferred edits'!$K$2:$K$201,A1215)&gt;0,"Yes","● Add to Deferred edits"))</f>
        <v/>
      </c>
    </row>
    <row r="1216" customFormat="false" ht="15" hidden="false" customHeight="false" outlineLevel="0" collapsed="false">
      <c r="A1216" s="46" t="s">
        <v>1511</v>
      </c>
      <c r="B1216" s="46"/>
      <c r="C1216" s="46"/>
      <c r="D1216" s="46"/>
      <c r="E1216" s="46"/>
      <c r="F1216" s="46"/>
      <c r="G1216" s="46"/>
      <c r="H1216" s="46"/>
      <c r="I1216" s="46"/>
      <c r="J1216" s="46"/>
      <c r="K1216" s="46"/>
      <c r="L1216" s="46"/>
      <c r="M1216" s="46" t="str">
        <f aca="false">IF(OR(B1216="",I1216=""),"",IFERROR(INDEX('Comment flow'!$C$40:$C$46,MATCH(I1216,'Comment flow'!$A$40:$A$46,0)),""))</f>
        <v/>
      </c>
      <c r="N1216" s="46" t="str">
        <f aca="false">IF(B1216="","",IF(OR(I1216="",I1216="Open: needs a decision",L1216=""),"Open","Closed"))</f>
        <v/>
      </c>
      <c r="O1216" s="46"/>
      <c r="P1216" s="46" t="str">
        <f aca="false">IF(OR(B1216="",I1216&lt;&gt;"Save for a later revision"),"",IF(COUNTIF('Deferred edits'!$K$2:$K$201,A1216)&gt;0,"Yes","● Add to Deferred edits"))</f>
        <v/>
      </c>
    </row>
    <row r="1217" customFormat="false" ht="15" hidden="false" customHeight="false" outlineLevel="0" collapsed="false">
      <c r="A1217" s="46" t="s">
        <v>1512</v>
      </c>
      <c r="B1217" s="46"/>
      <c r="C1217" s="46"/>
      <c r="D1217" s="46"/>
      <c r="E1217" s="46"/>
      <c r="F1217" s="46"/>
      <c r="G1217" s="46"/>
      <c r="H1217" s="46"/>
      <c r="I1217" s="46"/>
      <c r="J1217" s="46"/>
      <c r="K1217" s="46"/>
      <c r="L1217" s="46"/>
      <c r="M1217" s="46" t="str">
        <f aca="false">IF(OR(B1217="",I1217=""),"",IFERROR(INDEX('Comment flow'!$C$40:$C$46,MATCH(I1217,'Comment flow'!$A$40:$A$46,0)),""))</f>
        <v/>
      </c>
      <c r="N1217" s="46" t="str">
        <f aca="false">IF(B1217="","",IF(OR(I1217="",I1217="Open: needs a decision",L1217=""),"Open","Closed"))</f>
        <v/>
      </c>
      <c r="O1217" s="46"/>
      <c r="P1217" s="46" t="str">
        <f aca="false">IF(OR(B1217="",I1217&lt;&gt;"Save for a later revision"),"",IF(COUNTIF('Deferred edits'!$K$2:$K$201,A1217)&gt;0,"Yes","● Add to Deferred edits"))</f>
        <v/>
      </c>
    </row>
    <row r="1218" customFormat="false" ht="15" hidden="false" customHeight="false" outlineLevel="0" collapsed="false">
      <c r="A1218" s="46" t="s">
        <v>1513</v>
      </c>
      <c r="B1218" s="46"/>
      <c r="C1218" s="46"/>
      <c r="D1218" s="46"/>
      <c r="E1218" s="46"/>
      <c r="F1218" s="46"/>
      <c r="G1218" s="46"/>
      <c r="H1218" s="46"/>
      <c r="I1218" s="46"/>
      <c r="J1218" s="46"/>
      <c r="K1218" s="46"/>
      <c r="L1218" s="46"/>
      <c r="M1218" s="46" t="str">
        <f aca="false">IF(OR(B1218="",I1218=""),"",IFERROR(INDEX('Comment flow'!$C$40:$C$46,MATCH(I1218,'Comment flow'!$A$40:$A$46,0)),""))</f>
        <v/>
      </c>
      <c r="N1218" s="46" t="str">
        <f aca="false">IF(B1218="","",IF(OR(I1218="",I1218="Open: needs a decision",L1218=""),"Open","Closed"))</f>
        <v/>
      </c>
      <c r="O1218" s="46"/>
      <c r="P1218" s="46" t="str">
        <f aca="false">IF(OR(B1218="",I1218&lt;&gt;"Save for a later revision"),"",IF(COUNTIF('Deferred edits'!$K$2:$K$201,A1218)&gt;0,"Yes","● Add to Deferred edits"))</f>
        <v/>
      </c>
    </row>
    <row r="1219" customFormat="false" ht="15" hidden="false" customHeight="false" outlineLevel="0" collapsed="false">
      <c r="A1219" s="46" t="s">
        <v>1514</v>
      </c>
      <c r="B1219" s="46"/>
      <c r="C1219" s="46"/>
      <c r="D1219" s="46"/>
      <c r="E1219" s="46"/>
      <c r="F1219" s="46"/>
      <c r="G1219" s="46"/>
      <c r="H1219" s="46"/>
      <c r="I1219" s="46"/>
      <c r="J1219" s="46"/>
      <c r="K1219" s="46"/>
      <c r="L1219" s="46"/>
      <c r="M1219" s="46" t="str">
        <f aca="false">IF(OR(B1219="",I1219=""),"",IFERROR(INDEX('Comment flow'!$C$40:$C$46,MATCH(I1219,'Comment flow'!$A$40:$A$46,0)),""))</f>
        <v/>
      </c>
      <c r="N1219" s="46" t="str">
        <f aca="false">IF(B1219="","",IF(OR(I1219="",I1219="Open: needs a decision",L1219=""),"Open","Closed"))</f>
        <v/>
      </c>
      <c r="O1219" s="46"/>
      <c r="P1219" s="46" t="str">
        <f aca="false">IF(OR(B1219="",I1219&lt;&gt;"Save for a later revision"),"",IF(COUNTIF('Deferred edits'!$K$2:$K$201,A1219)&gt;0,"Yes","● Add to Deferred edits"))</f>
        <v/>
      </c>
    </row>
    <row r="1220" customFormat="false" ht="15" hidden="false" customHeight="false" outlineLevel="0" collapsed="false">
      <c r="A1220" s="46" t="s">
        <v>1515</v>
      </c>
      <c r="B1220" s="46"/>
      <c r="C1220" s="46"/>
      <c r="D1220" s="46"/>
      <c r="E1220" s="46"/>
      <c r="F1220" s="46"/>
      <c r="G1220" s="46"/>
      <c r="H1220" s="46"/>
      <c r="I1220" s="46"/>
      <c r="J1220" s="46"/>
      <c r="K1220" s="46"/>
      <c r="L1220" s="46"/>
      <c r="M1220" s="46" t="str">
        <f aca="false">IF(OR(B1220="",I1220=""),"",IFERROR(INDEX('Comment flow'!$C$40:$C$46,MATCH(I1220,'Comment flow'!$A$40:$A$46,0)),""))</f>
        <v/>
      </c>
      <c r="N1220" s="46" t="str">
        <f aca="false">IF(B1220="","",IF(OR(I1220="",I1220="Open: needs a decision",L1220=""),"Open","Closed"))</f>
        <v/>
      </c>
      <c r="O1220" s="46"/>
      <c r="P1220" s="46" t="str">
        <f aca="false">IF(OR(B1220="",I1220&lt;&gt;"Save for a later revision"),"",IF(COUNTIF('Deferred edits'!$K$2:$K$201,A1220)&gt;0,"Yes","● Add to Deferred edits"))</f>
        <v/>
      </c>
    </row>
    <row r="1221" customFormat="false" ht="15" hidden="false" customHeight="false" outlineLevel="0" collapsed="false">
      <c r="A1221" s="46" t="s">
        <v>1516</v>
      </c>
      <c r="B1221" s="46"/>
      <c r="C1221" s="46"/>
      <c r="D1221" s="46"/>
      <c r="E1221" s="46"/>
      <c r="F1221" s="46"/>
      <c r="G1221" s="46"/>
      <c r="H1221" s="46"/>
      <c r="I1221" s="46"/>
      <c r="J1221" s="46"/>
      <c r="K1221" s="46"/>
      <c r="L1221" s="46"/>
      <c r="M1221" s="46" t="str">
        <f aca="false">IF(OR(B1221="",I1221=""),"",IFERROR(INDEX('Comment flow'!$C$40:$C$46,MATCH(I1221,'Comment flow'!$A$40:$A$46,0)),""))</f>
        <v/>
      </c>
      <c r="N1221" s="46" t="str">
        <f aca="false">IF(B1221="","",IF(OR(I1221="",I1221="Open: needs a decision",L1221=""),"Open","Closed"))</f>
        <v/>
      </c>
      <c r="O1221" s="46"/>
      <c r="P1221" s="46" t="str">
        <f aca="false">IF(OR(B1221="",I1221&lt;&gt;"Save for a later revision"),"",IF(COUNTIF('Deferred edits'!$K$2:$K$201,A1221)&gt;0,"Yes","● Add to Deferred edits"))</f>
        <v/>
      </c>
    </row>
    <row r="1222" customFormat="false" ht="15" hidden="false" customHeight="false" outlineLevel="0" collapsed="false">
      <c r="A1222" s="46" t="s">
        <v>1517</v>
      </c>
      <c r="B1222" s="46"/>
      <c r="C1222" s="46"/>
      <c r="D1222" s="46"/>
      <c r="E1222" s="46"/>
      <c r="F1222" s="46"/>
      <c r="G1222" s="46"/>
      <c r="H1222" s="46"/>
      <c r="I1222" s="46"/>
      <c r="J1222" s="46"/>
      <c r="K1222" s="46"/>
      <c r="L1222" s="46"/>
      <c r="M1222" s="46" t="str">
        <f aca="false">IF(OR(B1222="",I1222=""),"",IFERROR(INDEX('Comment flow'!$C$40:$C$46,MATCH(I1222,'Comment flow'!$A$40:$A$46,0)),""))</f>
        <v/>
      </c>
      <c r="N1222" s="46" t="str">
        <f aca="false">IF(B1222="","",IF(OR(I1222="",I1222="Open: needs a decision",L1222=""),"Open","Closed"))</f>
        <v/>
      </c>
      <c r="O1222" s="46"/>
      <c r="P1222" s="46" t="str">
        <f aca="false">IF(OR(B1222="",I1222&lt;&gt;"Save for a later revision"),"",IF(COUNTIF('Deferred edits'!$K$2:$K$201,A1222)&gt;0,"Yes","● Add to Deferred edits"))</f>
        <v/>
      </c>
    </row>
    <row r="1223" customFormat="false" ht="15" hidden="false" customHeight="false" outlineLevel="0" collapsed="false">
      <c r="A1223" s="46" t="s">
        <v>1518</v>
      </c>
      <c r="B1223" s="46"/>
      <c r="C1223" s="46"/>
      <c r="D1223" s="46"/>
      <c r="E1223" s="46"/>
      <c r="F1223" s="46"/>
      <c r="G1223" s="46"/>
      <c r="H1223" s="46"/>
      <c r="I1223" s="46"/>
      <c r="J1223" s="46"/>
      <c r="K1223" s="46"/>
      <c r="L1223" s="46"/>
      <c r="M1223" s="46" t="str">
        <f aca="false">IF(OR(B1223="",I1223=""),"",IFERROR(INDEX('Comment flow'!$C$40:$C$46,MATCH(I1223,'Comment flow'!$A$40:$A$46,0)),""))</f>
        <v/>
      </c>
      <c r="N1223" s="46" t="str">
        <f aca="false">IF(B1223="","",IF(OR(I1223="",I1223="Open: needs a decision",L1223=""),"Open","Closed"))</f>
        <v/>
      </c>
      <c r="O1223" s="46"/>
      <c r="P1223" s="46" t="str">
        <f aca="false">IF(OR(B1223="",I1223&lt;&gt;"Save for a later revision"),"",IF(COUNTIF('Deferred edits'!$K$2:$K$201,A1223)&gt;0,"Yes","● Add to Deferred edits"))</f>
        <v/>
      </c>
    </row>
    <row r="1224" customFormat="false" ht="15" hidden="false" customHeight="false" outlineLevel="0" collapsed="false">
      <c r="A1224" s="46" t="s">
        <v>1519</v>
      </c>
      <c r="B1224" s="46"/>
      <c r="C1224" s="46"/>
      <c r="D1224" s="46"/>
      <c r="E1224" s="46"/>
      <c r="F1224" s="46"/>
      <c r="G1224" s="46"/>
      <c r="H1224" s="46"/>
      <c r="I1224" s="46"/>
      <c r="J1224" s="46"/>
      <c r="K1224" s="46"/>
      <c r="L1224" s="46"/>
      <c r="M1224" s="46" t="str">
        <f aca="false">IF(OR(B1224="",I1224=""),"",IFERROR(INDEX('Comment flow'!$C$40:$C$46,MATCH(I1224,'Comment flow'!$A$40:$A$46,0)),""))</f>
        <v/>
      </c>
      <c r="N1224" s="46" t="str">
        <f aca="false">IF(B1224="","",IF(OR(I1224="",I1224="Open: needs a decision",L1224=""),"Open","Closed"))</f>
        <v/>
      </c>
      <c r="O1224" s="46"/>
      <c r="P1224" s="46" t="str">
        <f aca="false">IF(OR(B1224="",I1224&lt;&gt;"Save for a later revision"),"",IF(COUNTIF('Deferred edits'!$K$2:$K$201,A1224)&gt;0,"Yes","● Add to Deferred edits"))</f>
        <v/>
      </c>
    </row>
    <row r="1225" customFormat="false" ht="15" hidden="false" customHeight="false" outlineLevel="0" collapsed="false">
      <c r="A1225" s="46" t="s">
        <v>1520</v>
      </c>
      <c r="B1225" s="46"/>
      <c r="C1225" s="46"/>
      <c r="D1225" s="46"/>
      <c r="E1225" s="46"/>
      <c r="F1225" s="46"/>
      <c r="G1225" s="46"/>
      <c r="H1225" s="46"/>
      <c r="I1225" s="46"/>
      <c r="J1225" s="46"/>
      <c r="K1225" s="46"/>
      <c r="L1225" s="46"/>
      <c r="M1225" s="46" t="str">
        <f aca="false">IF(OR(B1225="",I1225=""),"",IFERROR(INDEX('Comment flow'!$C$40:$C$46,MATCH(I1225,'Comment flow'!$A$40:$A$46,0)),""))</f>
        <v/>
      </c>
      <c r="N1225" s="46" t="str">
        <f aca="false">IF(B1225="","",IF(OR(I1225="",I1225="Open: needs a decision",L1225=""),"Open","Closed"))</f>
        <v/>
      </c>
      <c r="O1225" s="46"/>
      <c r="P1225" s="46" t="str">
        <f aca="false">IF(OR(B1225="",I1225&lt;&gt;"Save for a later revision"),"",IF(COUNTIF('Deferred edits'!$K$2:$K$201,A1225)&gt;0,"Yes","● Add to Deferred edits"))</f>
        <v/>
      </c>
    </row>
    <row r="1226" customFormat="false" ht="15" hidden="false" customHeight="false" outlineLevel="0" collapsed="false">
      <c r="A1226" s="46" t="s">
        <v>1521</v>
      </c>
      <c r="B1226" s="46"/>
      <c r="C1226" s="46"/>
      <c r="D1226" s="46"/>
      <c r="E1226" s="46"/>
      <c r="F1226" s="46"/>
      <c r="G1226" s="46"/>
      <c r="H1226" s="46"/>
      <c r="I1226" s="46"/>
      <c r="J1226" s="46"/>
      <c r="K1226" s="46"/>
      <c r="L1226" s="46"/>
      <c r="M1226" s="46" t="str">
        <f aca="false">IF(OR(B1226="",I1226=""),"",IFERROR(INDEX('Comment flow'!$C$40:$C$46,MATCH(I1226,'Comment flow'!$A$40:$A$46,0)),""))</f>
        <v/>
      </c>
      <c r="N1226" s="46" t="str">
        <f aca="false">IF(B1226="","",IF(OR(I1226="",I1226="Open: needs a decision",L1226=""),"Open","Closed"))</f>
        <v/>
      </c>
      <c r="O1226" s="46"/>
      <c r="P1226" s="46" t="str">
        <f aca="false">IF(OR(B1226="",I1226&lt;&gt;"Save for a later revision"),"",IF(COUNTIF('Deferred edits'!$K$2:$K$201,A1226)&gt;0,"Yes","● Add to Deferred edits"))</f>
        <v/>
      </c>
    </row>
    <row r="1227" customFormat="false" ht="15" hidden="false" customHeight="false" outlineLevel="0" collapsed="false">
      <c r="A1227" s="46" t="s">
        <v>1522</v>
      </c>
      <c r="B1227" s="46"/>
      <c r="C1227" s="46"/>
      <c r="D1227" s="46"/>
      <c r="E1227" s="46"/>
      <c r="F1227" s="46"/>
      <c r="G1227" s="46"/>
      <c r="H1227" s="46"/>
      <c r="I1227" s="46"/>
      <c r="J1227" s="46"/>
      <c r="K1227" s="46"/>
      <c r="L1227" s="46"/>
      <c r="M1227" s="46" t="str">
        <f aca="false">IF(OR(B1227="",I1227=""),"",IFERROR(INDEX('Comment flow'!$C$40:$C$46,MATCH(I1227,'Comment flow'!$A$40:$A$46,0)),""))</f>
        <v/>
      </c>
      <c r="N1227" s="46" t="str">
        <f aca="false">IF(B1227="","",IF(OR(I1227="",I1227="Open: needs a decision",L1227=""),"Open","Closed"))</f>
        <v/>
      </c>
      <c r="O1227" s="46"/>
      <c r="P1227" s="46" t="str">
        <f aca="false">IF(OR(B1227="",I1227&lt;&gt;"Save for a later revision"),"",IF(COUNTIF('Deferred edits'!$K$2:$K$201,A1227)&gt;0,"Yes","● Add to Deferred edits"))</f>
        <v/>
      </c>
    </row>
    <row r="1228" customFormat="false" ht="15" hidden="false" customHeight="false" outlineLevel="0" collapsed="false">
      <c r="A1228" s="46" t="s">
        <v>1523</v>
      </c>
      <c r="B1228" s="46"/>
      <c r="C1228" s="46"/>
      <c r="D1228" s="46"/>
      <c r="E1228" s="46"/>
      <c r="F1228" s="46"/>
      <c r="G1228" s="46"/>
      <c r="H1228" s="46"/>
      <c r="I1228" s="46"/>
      <c r="J1228" s="46"/>
      <c r="K1228" s="46"/>
      <c r="L1228" s="46"/>
      <c r="M1228" s="46" t="str">
        <f aca="false">IF(OR(B1228="",I1228=""),"",IFERROR(INDEX('Comment flow'!$C$40:$C$46,MATCH(I1228,'Comment flow'!$A$40:$A$46,0)),""))</f>
        <v/>
      </c>
      <c r="N1228" s="46" t="str">
        <f aca="false">IF(B1228="","",IF(OR(I1228="",I1228="Open: needs a decision",L1228=""),"Open","Closed"))</f>
        <v/>
      </c>
      <c r="O1228" s="46"/>
      <c r="P1228" s="46" t="str">
        <f aca="false">IF(OR(B1228="",I1228&lt;&gt;"Save for a later revision"),"",IF(COUNTIF('Deferred edits'!$K$2:$K$201,A1228)&gt;0,"Yes","● Add to Deferred edits"))</f>
        <v/>
      </c>
    </row>
    <row r="1229" customFormat="false" ht="15" hidden="false" customHeight="false" outlineLevel="0" collapsed="false">
      <c r="A1229" s="46" t="s">
        <v>1524</v>
      </c>
      <c r="B1229" s="46"/>
      <c r="C1229" s="46"/>
      <c r="D1229" s="46"/>
      <c r="E1229" s="46"/>
      <c r="F1229" s="46"/>
      <c r="G1229" s="46"/>
      <c r="H1229" s="46"/>
      <c r="I1229" s="46"/>
      <c r="J1229" s="46"/>
      <c r="K1229" s="46"/>
      <c r="L1229" s="46"/>
      <c r="M1229" s="46" t="str">
        <f aca="false">IF(OR(B1229="",I1229=""),"",IFERROR(INDEX('Comment flow'!$C$40:$C$46,MATCH(I1229,'Comment flow'!$A$40:$A$46,0)),""))</f>
        <v/>
      </c>
      <c r="N1229" s="46" t="str">
        <f aca="false">IF(B1229="","",IF(OR(I1229="",I1229="Open: needs a decision",L1229=""),"Open","Closed"))</f>
        <v/>
      </c>
      <c r="O1229" s="46"/>
      <c r="P1229" s="46" t="str">
        <f aca="false">IF(OR(B1229="",I1229&lt;&gt;"Save for a later revision"),"",IF(COUNTIF('Deferred edits'!$K$2:$K$201,A1229)&gt;0,"Yes","● Add to Deferred edits"))</f>
        <v/>
      </c>
    </row>
    <row r="1230" customFormat="false" ht="15" hidden="false" customHeight="false" outlineLevel="0" collapsed="false">
      <c r="A1230" s="46" t="s">
        <v>1525</v>
      </c>
      <c r="B1230" s="46"/>
      <c r="C1230" s="46"/>
      <c r="D1230" s="46"/>
      <c r="E1230" s="46"/>
      <c r="F1230" s="46"/>
      <c r="G1230" s="46"/>
      <c r="H1230" s="46"/>
      <c r="I1230" s="46"/>
      <c r="J1230" s="46"/>
      <c r="K1230" s="46"/>
      <c r="L1230" s="46"/>
      <c r="M1230" s="46" t="str">
        <f aca="false">IF(OR(B1230="",I1230=""),"",IFERROR(INDEX('Comment flow'!$C$40:$C$46,MATCH(I1230,'Comment flow'!$A$40:$A$46,0)),""))</f>
        <v/>
      </c>
      <c r="N1230" s="46" t="str">
        <f aca="false">IF(B1230="","",IF(OR(I1230="",I1230="Open: needs a decision",L1230=""),"Open","Closed"))</f>
        <v/>
      </c>
      <c r="O1230" s="46"/>
      <c r="P1230" s="46" t="str">
        <f aca="false">IF(OR(B1230="",I1230&lt;&gt;"Save for a later revision"),"",IF(COUNTIF('Deferred edits'!$K$2:$K$201,A1230)&gt;0,"Yes","● Add to Deferred edits"))</f>
        <v/>
      </c>
    </row>
    <row r="1231" customFormat="false" ht="15" hidden="false" customHeight="false" outlineLevel="0" collapsed="false">
      <c r="A1231" s="46" t="s">
        <v>1526</v>
      </c>
      <c r="B1231" s="46"/>
      <c r="C1231" s="46"/>
      <c r="D1231" s="46"/>
      <c r="E1231" s="46"/>
      <c r="F1231" s="46"/>
      <c r="G1231" s="46"/>
      <c r="H1231" s="46"/>
      <c r="I1231" s="46"/>
      <c r="J1231" s="46"/>
      <c r="K1231" s="46"/>
      <c r="L1231" s="46"/>
      <c r="M1231" s="46" t="str">
        <f aca="false">IF(OR(B1231="",I1231=""),"",IFERROR(INDEX('Comment flow'!$C$40:$C$46,MATCH(I1231,'Comment flow'!$A$40:$A$46,0)),""))</f>
        <v/>
      </c>
      <c r="N1231" s="46" t="str">
        <f aca="false">IF(B1231="","",IF(OR(I1231="",I1231="Open: needs a decision",L1231=""),"Open","Closed"))</f>
        <v/>
      </c>
      <c r="O1231" s="46"/>
      <c r="P1231" s="46" t="str">
        <f aca="false">IF(OR(B1231="",I1231&lt;&gt;"Save for a later revision"),"",IF(COUNTIF('Deferred edits'!$K$2:$K$201,A1231)&gt;0,"Yes","● Add to Deferred edits"))</f>
        <v/>
      </c>
    </row>
    <row r="1232" customFormat="false" ht="15" hidden="false" customHeight="false" outlineLevel="0" collapsed="false">
      <c r="A1232" s="46" t="s">
        <v>1527</v>
      </c>
      <c r="B1232" s="46"/>
      <c r="C1232" s="46"/>
      <c r="D1232" s="46"/>
      <c r="E1232" s="46"/>
      <c r="F1232" s="46"/>
      <c r="G1232" s="46"/>
      <c r="H1232" s="46"/>
      <c r="I1232" s="46"/>
      <c r="J1232" s="46"/>
      <c r="K1232" s="46"/>
      <c r="L1232" s="46"/>
      <c r="M1232" s="46" t="str">
        <f aca="false">IF(OR(B1232="",I1232=""),"",IFERROR(INDEX('Comment flow'!$C$40:$C$46,MATCH(I1232,'Comment flow'!$A$40:$A$46,0)),""))</f>
        <v/>
      </c>
      <c r="N1232" s="46" t="str">
        <f aca="false">IF(B1232="","",IF(OR(I1232="",I1232="Open: needs a decision",L1232=""),"Open","Closed"))</f>
        <v/>
      </c>
      <c r="O1232" s="46"/>
      <c r="P1232" s="46" t="str">
        <f aca="false">IF(OR(B1232="",I1232&lt;&gt;"Save for a later revision"),"",IF(COUNTIF('Deferred edits'!$K$2:$K$201,A1232)&gt;0,"Yes","● Add to Deferred edits"))</f>
        <v/>
      </c>
    </row>
    <row r="1233" customFormat="false" ht="15" hidden="false" customHeight="false" outlineLevel="0" collapsed="false">
      <c r="A1233" s="46" t="s">
        <v>1528</v>
      </c>
      <c r="B1233" s="46"/>
      <c r="C1233" s="46"/>
      <c r="D1233" s="46"/>
      <c r="E1233" s="46"/>
      <c r="F1233" s="46"/>
      <c r="G1233" s="46"/>
      <c r="H1233" s="46"/>
      <c r="I1233" s="46"/>
      <c r="J1233" s="46"/>
      <c r="K1233" s="46"/>
      <c r="L1233" s="46"/>
      <c r="M1233" s="46" t="str">
        <f aca="false">IF(OR(B1233="",I1233=""),"",IFERROR(INDEX('Comment flow'!$C$40:$C$46,MATCH(I1233,'Comment flow'!$A$40:$A$46,0)),""))</f>
        <v/>
      </c>
      <c r="N1233" s="46" t="str">
        <f aca="false">IF(B1233="","",IF(OR(I1233="",I1233="Open: needs a decision",L1233=""),"Open","Closed"))</f>
        <v/>
      </c>
      <c r="O1233" s="46"/>
      <c r="P1233" s="46" t="str">
        <f aca="false">IF(OR(B1233="",I1233&lt;&gt;"Save for a later revision"),"",IF(COUNTIF('Deferred edits'!$K$2:$K$201,A1233)&gt;0,"Yes","● Add to Deferred edits"))</f>
        <v/>
      </c>
    </row>
    <row r="1234" customFormat="false" ht="15" hidden="false" customHeight="false" outlineLevel="0" collapsed="false">
      <c r="A1234" s="46" t="s">
        <v>1529</v>
      </c>
      <c r="B1234" s="46"/>
      <c r="C1234" s="46"/>
      <c r="D1234" s="46"/>
      <c r="E1234" s="46"/>
      <c r="F1234" s="46"/>
      <c r="G1234" s="46"/>
      <c r="H1234" s="46"/>
      <c r="I1234" s="46"/>
      <c r="J1234" s="46"/>
      <c r="K1234" s="46"/>
      <c r="L1234" s="46"/>
      <c r="M1234" s="46" t="str">
        <f aca="false">IF(OR(B1234="",I1234=""),"",IFERROR(INDEX('Comment flow'!$C$40:$C$46,MATCH(I1234,'Comment flow'!$A$40:$A$46,0)),""))</f>
        <v/>
      </c>
      <c r="N1234" s="46" t="str">
        <f aca="false">IF(B1234="","",IF(OR(I1234="",I1234="Open: needs a decision",L1234=""),"Open","Closed"))</f>
        <v/>
      </c>
      <c r="O1234" s="46"/>
      <c r="P1234" s="46" t="str">
        <f aca="false">IF(OR(B1234="",I1234&lt;&gt;"Save for a later revision"),"",IF(COUNTIF('Deferred edits'!$K$2:$K$201,A1234)&gt;0,"Yes","● Add to Deferred edits"))</f>
        <v/>
      </c>
    </row>
    <row r="1235" customFormat="false" ht="15" hidden="false" customHeight="false" outlineLevel="0" collapsed="false">
      <c r="A1235" s="46" t="s">
        <v>1530</v>
      </c>
      <c r="B1235" s="46"/>
      <c r="C1235" s="46"/>
      <c r="D1235" s="46"/>
      <c r="E1235" s="46"/>
      <c r="F1235" s="46"/>
      <c r="G1235" s="46"/>
      <c r="H1235" s="46"/>
      <c r="I1235" s="46"/>
      <c r="J1235" s="46"/>
      <c r="K1235" s="46"/>
      <c r="L1235" s="46"/>
      <c r="M1235" s="46" t="str">
        <f aca="false">IF(OR(B1235="",I1235=""),"",IFERROR(INDEX('Comment flow'!$C$40:$C$46,MATCH(I1235,'Comment flow'!$A$40:$A$46,0)),""))</f>
        <v/>
      </c>
      <c r="N1235" s="46" t="str">
        <f aca="false">IF(B1235="","",IF(OR(I1235="",I1235="Open: needs a decision",L1235=""),"Open","Closed"))</f>
        <v/>
      </c>
      <c r="O1235" s="46"/>
      <c r="P1235" s="46" t="str">
        <f aca="false">IF(OR(B1235="",I1235&lt;&gt;"Save for a later revision"),"",IF(COUNTIF('Deferred edits'!$K$2:$K$201,A1235)&gt;0,"Yes","● Add to Deferred edits"))</f>
        <v/>
      </c>
    </row>
    <row r="1236" customFormat="false" ht="15" hidden="false" customHeight="false" outlineLevel="0" collapsed="false">
      <c r="A1236" s="46" t="s">
        <v>1531</v>
      </c>
      <c r="B1236" s="46"/>
      <c r="C1236" s="46"/>
      <c r="D1236" s="46"/>
      <c r="E1236" s="46"/>
      <c r="F1236" s="46"/>
      <c r="G1236" s="46"/>
      <c r="H1236" s="46"/>
      <c r="I1236" s="46"/>
      <c r="J1236" s="46"/>
      <c r="K1236" s="46"/>
      <c r="L1236" s="46"/>
      <c r="M1236" s="46" t="str">
        <f aca="false">IF(OR(B1236="",I1236=""),"",IFERROR(INDEX('Comment flow'!$C$40:$C$46,MATCH(I1236,'Comment flow'!$A$40:$A$46,0)),""))</f>
        <v/>
      </c>
      <c r="N1236" s="46" t="str">
        <f aca="false">IF(B1236="","",IF(OR(I1236="",I1236="Open: needs a decision",L1236=""),"Open","Closed"))</f>
        <v/>
      </c>
      <c r="O1236" s="46"/>
      <c r="P1236" s="46" t="str">
        <f aca="false">IF(OR(B1236="",I1236&lt;&gt;"Save for a later revision"),"",IF(COUNTIF('Deferred edits'!$K$2:$K$201,A1236)&gt;0,"Yes","● Add to Deferred edits"))</f>
        <v/>
      </c>
    </row>
    <row r="1237" customFormat="false" ht="15" hidden="false" customHeight="false" outlineLevel="0" collapsed="false">
      <c r="A1237" s="46" t="s">
        <v>1532</v>
      </c>
      <c r="B1237" s="46"/>
      <c r="C1237" s="46"/>
      <c r="D1237" s="46"/>
      <c r="E1237" s="46"/>
      <c r="F1237" s="46"/>
      <c r="G1237" s="46"/>
      <c r="H1237" s="46"/>
      <c r="I1237" s="46"/>
      <c r="J1237" s="46"/>
      <c r="K1237" s="46"/>
      <c r="L1237" s="46"/>
      <c r="M1237" s="46" t="str">
        <f aca="false">IF(OR(B1237="",I1237=""),"",IFERROR(INDEX('Comment flow'!$C$40:$C$46,MATCH(I1237,'Comment flow'!$A$40:$A$46,0)),""))</f>
        <v/>
      </c>
      <c r="N1237" s="46" t="str">
        <f aca="false">IF(B1237="","",IF(OR(I1237="",I1237="Open: needs a decision",L1237=""),"Open","Closed"))</f>
        <v/>
      </c>
      <c r="O1237" s="46"/>
      <c r="P1237" s="46" t="str">
        <f aca="false">IF(OR(B1237="",I1237&lt;&gt;"Save for a later revision"),"",IF(COUNTIF('Deferred edits'!$K$2:$K$201,A1237)&gt;0,"Yes","● Add to Deferred edits"))</f>
        <v/>
      </c>
    </row>
    <row r="1238" customFormat="false" ht="15" hidden="false" customHeight="false" outlineLevel="0" collapsed="false">
      <c r="A1238" s="46" t="s">
        <v>1533</v>
      </c>
      <c r="B1238" s="46"/>
      <c r="C1238" s="46"/>
      <c r="D1238" s="46"/>
      <c r="E1238" s="46"/>
      <c r="F1238" s="46"/>
      <c r="G1238" s="46"/>
      <c r="H1238" s="46"/>
      <c r="I1238" s="46"/>
      <c r="J1238" s="46"/>
      <c r="K1238" s="46"/>
      <c r="L1238" s="46"/>
      <c r="M1238" s="46" t="str">
        <f aca="false">IF(OR(B1238="",I1238=""),"",IFERROR(INDEX('Comment flow'!$C$40:$C$46,MATCH(I1238,'Comment flow'!$A$40:$A$46,0)),""))</f>
        <v/>
      </c>
      <c r="N1238" s="46" t="str">
        <f aca="false">IF(B1238="","",IF(OR(I1238="",I1238="Open: needs a decision",L1238=""),"Open","Closed"))</f>
        <v/>
      </c>
      <c r="O1238" s="46"/>
      <c r="P1238" s="46" t="str">
        <f aca="false">IF(OR(B1238="",I1238&lt;&gt;"Save for a later revision"),"",IF(COUNTIF('Deferred edits'!$K$2:$K$201,A1238)&gt;0,"Yes","● Add to Deferred edits"))</f>
        <v/>
      </c>
    </row>
    <row r="1239" customFormat="false" ht="15" hidden="false" customHeight="false" outlineLevel="0" collapsed="false">
      <c r="A1239" s="46" t="s">
        <v>1534</v>
      </c>
      <c r="B1239" s="46"/>
      <c r="C1239" s="46"/>
      <c r="D1239" s="46"/>
      <c r="E1239" s="46"/>
      <c r="F1239" s="46"/>
      <c r="G1239" s="46"/>
      <c r="H1239" s="46"/>
      <c r="I1239" s="46"/>
      <c r="J1239" s="46"/>
      <c r="K1239" s="46"/>
      <c r="L1239" s="46"/>
      <c r="M1239" s="46" t="str">
        <f aca="false">IF(OR(B1239="",I1239=""),"",IFERROR(INDEX('Comment flow'!$C$40:$C$46,MATCH(I1239,'Comment flow'!$A$40:$A$46,0)),""))</f>
        <v/>
      </c>
      <c r="N1239" s="46" t="str">
        <f aca="false">IF(B1239="","",IF(OR(I1239="",I1239="Open: needs a decision",L1239=""),"Open","Closed"))</f>
        <v/>
      </c>
      <c r="O1239" s="46"/>
      <c r="P1239" s="46" t="str">
        <f aca="false">IF(OR(B1239="",I1239&lt;&gt;"Save for a later revision"),"",IF(COUNTIF('Deferred edits'!$K$2:$K$201,A1239)&gt;0,"Yes","● Add to Deferred edits"))</f>
        <v/>
      </c>
    </row>
    <row r="1240" customFormat="false" ht="15" hidden="false" customHeight="false" outlineLevel="0" collapsed="false">
      <c r="A1240" s="46" t="s">
        <v>1535</v>
      </c>
      <c r="B1240" s="46"/>
      <c r="C1240" s="46"/>
      <c r="D1240" s="46"/>
      <c r="E1240" s="46"/>
      <c r="F1240" s="46"/>
      <c r="G1240" s="46"/>
      <c r="H1240" s="46"/>
      <c r="I1240" s="46"/>
      <c r="J1240" s="46"/>
      <c r="K1240" s="46"/>
      <c r="L1240" s="46"/>
      <c r="M1240" s="46" t="str">
        <f aca="false">IF(OR(B1240="",I1240=""),"",IFERROR(INDEX('Comment flow'!$C$40:$C$46,MATCH(I1240,'Comment flow'!$A$40:$A$46,0)),""))</f>
        <v/>
      </c>
      <c r="N1240" s="46" t="str">
        <f aca="false">IF(B1240="","",IF(OR(I1240="",I1240="Open: needs a decision",L1240=""),"Open","Closed"))</f>
        <v/>
      </c>
      <c r="O1240" s="46"/>
      <c r="P1240" s="46" t="str">
        <f aca="false">IF(OR(B1240="",I1240&lt;&gt;"Save for a later revision"),"",IF(COUNTIF('Deferred edits'!$K$2:$K$201,A1240)&gt;0,"Yes","● Add to Deferred edits"))</f>
        <v/>
      </c>
    </row>
    <row r="1241" customFormat="false" ht="15" hidden="false" customHeight="false" outlineLevel="0" collapsed="false">
      <c r="A1241" s="46" t="s">
        <v>1536</v>
      </c>
      <c r="B1241" s="46"/>
      <c r="C1241" s="46"/>
      <c r="D1241" s="46"/>
      <c r="E1241" s="46"/>
      <c r="F1241" s="46"/>
      <c r="G1241" s="46"/>
      <c r="H1241" s="46"/>
      <c r="I1241" s="46"/>
      <c r="J1241" s="46"/>
      <c r="K1241" s="46"/>
      <c r="L1241" s="46"/>
      <c r="M1241" s="46" t="str">
        <f aca="false">IF(OR(B1241="",I1241=""),"",IFERROR(INDEX('Comment flow'!$C$40:$C$46,MATCH(I1241,'Comment flow'!$A$40:$A$46,0)),""))</f>
        <v/>
      </c>
      <c r="N1241" s="46" t="str">
        <f aca="false">IF(B1241="","",IF(OR(I1241="",I1241="Open: needs a decision",L1241=""),"Open","Closed"))</f>
        <v/>
      </c>
      <c r="O1241" s="46"/>
      <c r="P1241" s="46" t="str">
        <f aca="false">IF(OR(B1241="",I1241&lt;&gt;"Save for a later revision"),"",IF(COUNTIF('Deferred edits'!$K$2:$K$201,A1241)&gt;0,"Yes","● Add to Deferred edits"))</f>
        <v/>
      </c>
    </row>
    <row r="1242" customFormat="false" ht="15" hidden="false" customHeight="false" outlineLevel="0" collapsed="false">
      <c r="A1242" s="46" t="s">
        <v>1537</v>
      </c>
      <c r="B1242" s="46"/>
      <c r="C1242" s="46"/>
      <c r="D1242" s="46"/>
      <c r="E1242" s="46"/>
      <c r="F1242" s="46"/>
      <c r="G1242" s="46"/>
      <c r="H1242" s="46"/>
      <c r="I1242" s="46"/>
      <c r="J1242" s="46"/>
      <c r="K1242" s="46"/>
      <c r="L1242" s="46"/>
      <c r="M1242" s="46" t="str">
        <f aca="false">IF(OR(B1242="",I1242=""),"",IFERROR(INDEX('Comment flow'!$C$40:$C$46,MATCH(I1242,'Comment flow'!$A$40:$A$46,0)),""))</f>
        <v/>
      </c>
      <c r="N1242" s="46" t="str">
        <f aca="false">IF(B1242="","",IF(OR(I1242="",I1242="Open: needs a decision",L1242=""),"Open","Closed"))</f>
        <v/>
      </c>
      <c r="O1242" s="46"/>
      <c r="P1242" s="46" t="str">
        <f aca="false">IF(OR(B1242="",I1242&lt;&gt;"Save for a later revision"),"",IF(COUNTIF('Deferred edits'!$K$2:$K$201,A1242)&gt;0,"Yes","● Add to Deferred edits"))</f>
        <v/>
      </c>
    </row>
    <row r="1243" customFormat="false" ht="15" hidden="false" customHeight="false" outlineLevel="0" collapsed="false">
      <c r="A1243" s="46" t="s">
        <v>1538</v>
      </c>
      <c r="B1243" s="46"/>
      <c r="C1243" s="46"/>
      <c r="D1243" s="46"/>
      <c r="E1243" s="46"/>
      <c r="F1243" s="46"/>
      <c r="G1243" s="46"/>
      <c r="H1243" s="46"/>
      <c r="I1243" s="46"/>
      <c r="J1243" s="46"/>
      <c r="K1243" s="46"/>
      <c r="L1243" s="46"/>
      <c r="M1243" s="46" t="str">
        <f aca="false">IF(OR(B1243="",I1243=""),"",IFERROR(INDEX('Comment flow'!$C$40:$C$46,MATCH(I1243,'Comment flow'!$A$40:$A$46,0)),""))</f>
        <v/>
      </c>
      <c r="N1243" s="46" t="str">
        <f aca="false">IF(B1243="","",IF(OR(I1243="",I1243="Open: needs a decision",L1243=""),"Open","Closed"))</f>
        <v/>
      </c>
      <c r="O1243" s="46"/>
      <c r="P1243" s="46" t="str">
        <f aca="false">IF(OR(B1243="",I1243&lt;&gt;"Save for a later revision"),"",IF(COUNTIF('Deferred edits'!$K$2:$K$201,A1243)&gt;0,"Yes","● Add to Deferred edits"))</f>
        <v/>
      </c>
    </row>
    <row r="1244" customFormat="false" ht="15" hidden="false" customHeight="false" outlineLevel="0" collapsed="false">
      <c r="A1244" s="46" t="s">
        <v>1539</v>
      </c>
      <c r="B1244" s="46"/>
      <c r="C1244" s="46"/>
      <c r="D1244" s="46"/>
      <c r="E1244" s="46"/>
      <c r="F1244" s="46"/>
      <c r="G1244" s="46"/>
      <c r="H1244" s="46"/>
      <c r="I1244" s="46"/>
      <c r="J1244" s="46"/>
      <c r="K1244" s="46"/>
      <c r="L1244" s="46"/>
      <c r="M1244" s="46" t="str">
        <f aca="false">IF(OR(B1244="",I1244=""),"",IFERROR(INDEX('Comment flow'!$C$40:$C$46,MATCH(I1244,'Comment flow'!$A$40:$A$46,0)),""))</f>
        <v/>
      </c>
      <c r="N1244" s="46" t="str">
        <f aca="false">IF(B1244="","",IF(OR(I1244="",I1244="Open: needs a decision",L1244=""),"Open","Closed"))</f>
        <v/>
      </c>
      <c r="O1244" s="46"/>
      <c r="P1244" s="46" t="str">
        <f aca="false">IF(OR(B1244="",I1244&lt;&gt;"Save for a later revision"),"",IF(COUNTIF('Deferred edits'!$K$2:$K$201,A1244)&gt;0,"Yes","● Add to Deferred edits"))</f>
        <v/>
      </c>
    </row>
    <row r="1245" customFormat="false" ht="15" hidden="false" customHeight="false" outlineLevel="0" collapsed="false">
      <c r="A1245" s="46" t="s">
        <v>1540</v>
      </c>
      <c r="B1245" s="46"/>
      <c r="C1245" s="46"/>
      <c r="D1245" s="46"/>
      <c r="E1245" s="46"/>
      <c r="F1245" s="46"/>
      <c r="G1245" s="46"/>
      <c r="H1245" s="46"/>
      <c r="I1245" s="46"/>
      <c r="J1245" s="46"/>
      <c r="K1245" s="46"/>
      <c r="L1245" s="46"/>
      <c r="M1245" s="46" t="str">
        <f aca="false">IF(OR(B1245="",I1245=""),"",IFERROR(INDEX('Comment flow'!$C$40:$C$46,MATCH(I1245,'Comment flow'!$A$40:$A$46,0)),""))</f>
        <v/>
      </c>
      <c r="N1245" s="46" t="str">
        <f aca="false">IF(B1245="","",IF(OR(I1245="",I1245="Open: needs a decision",L1245=""),"Open","Closed"))</f>
        <v/>
      </c>
      <c r="O1245" s="46"/>
      <c r="P1245" s="46" t="str">
        <f aca="false">IF(OR(B1245="",I1245&lt;&gt;"Save for a later revision"),"",IF(COUNTIF('Deferred edits'!$K$2:$K$201,A1245)&gt;0,"Yes","● Add to Deferred edits"))</f>
        <v/>
      </c>
    </row>
    <row r="1246" customFormat="false" ht="15" hidden="false" customHeight="false" outlineLevel="0" collapsed="false">
      <c r="A1246" s="46" t="s">
        <v>1541</v>
      </c>
      <c r="B1246" s="46"/>
      <c r="C1246" s="46"/>
      <c r="D1246" s="46"/>
      <c r="E1246" s="46"/>
      <c r="F1246" s="46"/>
      <c r="G1246" s="46"/>
      <c r="H1246" s="46"/>
      <c r="I1246" s="46"/>
      <c r="J1246" s="46"/>
      <c r="K1246" s="46"/>
      <c r="L1246" s="46"/>
      <c r="M1246" s="46" t="str">
        <f aca="false">IF(OR(B1246="",I1246=""),"",IFERROR(INDEX('Comment flow'!$C$40:$C$46,MATCH(I1246,'Comment flow'!$A$40:$A$46,0)),""))</f>
        <v/>
      </c>
      <c r="N1246" s="46" t="str">
        <f aca="false">IF(B1246="","",IF(OR(I1246="",I1246="Open: needs a decision",L1246=""),"Open","Closed"))</f>
        <v/>
      </c>
      <c r="O1246" s="46"/>
      <c r="P1246" s="46" t="str">
        <f aca="false">IF(OR(B1246="",I1246&lt;&gt;"Save for a later revision"),"",IF(COUNTIF('Deferred edits'!$K$2:$K$201,A1246)&gt;0,"Yes","● Add to Deferred edits"))</f>
        <v/>
      </c>
    </row>
    <row r="1247" customFormat="false" ht="15" hidden="false" customHeight="false" outlineLevel="0" collapsed="false">
      <c r="A1247" s="46" t="s">
        <v>1542</v>
      </c>
      <c r="B1247" s="46"/>
      <c r="C1247" s="46"/>
      <c r="D1247" s="46"/>
      <c r="E1247" s="46"/>
      <c r="F1247" s="46"/>
      <c r="G1247" s="46"/>
      <c r="H1247" s="46"/>
      <c r="I1247" s="46"/>
      <c r="J1247" s="46"/>
      <c r="K1247" s="46"/>
      <c r="L1247" s="46"/>
      <c r="M1247" s="46" t="str">
        <f aca="false">IF(OR(B1247="",I1247=""),"",IFERROR(INDEX('Comment flow'!$C$40:$C$46,MATCH(I1247,'Comment flow'!$A$40:$A$46,0)),""))</f>
        <v/>
      </c>
      <c r="N1247" s="46" t="str">
        <f aca="false">IF(B1247="","",IF(OR(I1247="",I1247="Open: needs a decision",L1247=""),"Open","Closed"))</f>
        <v/>
      </c>
      <c r="O1247" s="46"/>
      <c r="P1247" s="46" t="str">
        <f aca="false">IF(OR(B1247="",I1247&lt;&gt;"Save for a later revision"),"",IF(COUNTIF('Deferred edits'!$K$2:$K$201,A1247)&gt;0,"Yes","● Add to Deferred edits"))</f>
        <v/>
      </c>
    </row>
    <row r="1248" customFormat="false" ht="15" hidden="false" customHeight="false" outlineLevel="0" collapsed="false">
      <c r="A1248" s="46" t="s">
        <v>1543</v>
      </c>
      <c r="B1248" s="46"/>
      <c r="C1248" s="46"/>
      <c r="D1248" s="46"/>
      <c r="E1248" s="46"/>
      <c r="F1248" s="46"/>
      <c r="G1248" s="46"/>
      <c r="H1248" s="46"/>
      <c r="I1248" s="46"/>
      <c r="J1248" s="46"/>
      <c r="K1248" s="46"/>
      <c r="L1248" s="46"/>
      <c r="M1248" s="46" t="str">
        <f aca="false">IF(OR(B1248="",I1248=""),"",IFERROR(INDEX('Comment flow'!$C$40:$C$46,MATCH(I1248,'Comment flow'!$A$40:$A$46,0)),""))</f>
        <v/>
      </c>
      <c r="N1248" s="46" t="str">
        <f aca="false">IF(B1248="","",IF(OR(I1248="",I1248="Open: needs a decision",L1248=""),"Open","Closed"))</f>
        <v/>
      </c>
      <c r="O1248" s="46"/>
      <c r="P1248" s="46" t="str">
        <f aca="false">IF(OR(B1248="",I1248&lt;&gt;"Save for a later revision"),"",IF(COUNTIF('Deferred edits'!$K$2:$K$201,A1248)&gt;0,"Yes","● Add to Deferred edits"))</f>
        <v/>
      </c>
    </row>
    <row r="1249" customFormat="false" ht="15" hidden="false" customHeight="false" outlineLevel="0" collapsed="false">
      <c r="A1249" s="46" t="s">
        <v>1544</v>
      </c>
      <c r="B1249" s="46"/>
      <c r="C1249" s="46"/>
      <c r="D1249" s="46"/>
      <c r="E1249" s="46"/>
      <c r="F1249" s="46"/>
      <c r="G1249" s="46"/>
      <c r="H1249" s="46"/>
      <c r="I1249" s="46"/>
      <c r="J1249" s="46"/>
      <c r="K1249" s="46"/>
      <c r="L1249" s="46"/>
      <c r="M1249" s="46" t="str">
        <f aca="false">IF(OR(B1249="",I1249=""),"",IFERROR(INDEX('Comment flow'!$C$40:$C$46,MATCH(I1249,'Comment flow'!$A$40:$A$46,0)),""))</f>
        <v/>
      </c>
      <c r="N1249" s="46" t="str">
        <f aca="false">IF(B1249="","",IF(OR(I1249="",I1249="Open: needs a decision",L1249=""),"Open","Closed"))</f>
        <v/>
      </c>
      <c r="O1249" s="46"/>
      <c r="P1249" s="46" t="str">
        <f aca="false">IF(OR(B1249="",I1249&lt;&gt;"Save for a later revision"),"",IF(COUNTIF('Deferred edits'!$K$2:$K$201,A1249)&gt;0,"Yes","● Add to Deferred edits"))</f>
        <v/>
      </c>
    </row>
    <row r="1250" customFormat="false" ht="15" hidden="false" customHeight="false" outlineLevel="0" collapsed="false">
      <c r="A1250" s="46" t="s">
        <v>1545</v>
      </c>
      <c r="B1250" s="46"/>
      <c r="C1250" s="46"/>
      <c r="D1250" s="46"/>
      <c r="E1250" s="46"/>
      <c r="F1250" s="46"/>
      <c r="G1250" s="46"/>
      <c r="H1250" s="46"/>
      <c r="I1250" s="46"/>
      <c r="J1250" s="46"/>
      <c r="K1250" s="46"/>
      <c r="L1250" s="46"/>
      <c r="M1250" s="46" t="str">
        <f aca="false">IF(OR(B1250="",I1250=""),"",IFERROR(INDEX('Comment flow'!$C$40:$C$46,MATCH(I1250,'Comment flow'!$A$40:$A$46,0)),""))</f>
        <v/>
      </c>
      <c r="N1250" s="46" t="str">
        <f aca="false">IF(B1250="","",IF(OR(I1250="",I1250="Open: needs a decision",L1250=""),"Open","Closed"))</f>
        <v/>
      </c>
      <c r="O1250" s="46"/>
      <c r="P1250" s="46" t="str">
        <f aca="false">IF(OR(B1250="",I1250&lt;&gt;"Save for a later revision"),"",IF(COUNTIF('Deferred edits'!$K$2:$K$201,A1250)&gt;0,"Yes","● Add to Deferred edits"))</f>
        <v/>
      </c>
    </row>
    <row r="1251" customFormat="false" ht="15" hidden="false" customHeight="false" outlineLevel="0" collapsed="false">
      <c r="A1251" s="46" t="s">
        <v>1546</v>
      </c>
      <c r="B1251" s="46"/>
      <c r="C1251" s="46"/>
      <c r="D1251" s="46"/>
      <c r="E1251" s="46"/>
      <c r="F1251" s="46"/>
      <c r="G1251" s="46"/>
      <c r="H1251" s="46"/>
      <c r="I1251" s="46"/>
      <c r="J1251" s="46"/>
      <c r="K1251" s="46"/>
      <c r="L1251" s="46"/>
      <c r="M1251" s="46" t="str">
        <f aca="false">IF(OR(B1251="",I1251=""),"",IFERROR(INDEX('Comment flow'!$C$40:$C$46,MATCH(I1251,'Comment flow'!$A$40:$A$46,0)),""))</f>
        <v/>
      </c>
      <c r="N1251" s="46" t="str">
        <f aca="false">IF(B1251="","",IF(OR(I1251="",I1251="Open: needs a decision",L1251=""),"Open","Closed"))</f>
        <v/>
      </c>
      <c r="O1251" s="46"/>
      <c r="P1251" s="46" t="str">
        <f aca="false">IF(OR(B1251="",I1251&lt;&gt;"Save for a later revision"),"",IF(COUNTIF('Deferred edits'!$K$2:$K$201,A1251)&gt;0,"Yes","● Add to Deferred edits"))</f>
        <v/>
      </c>
    </row>
    <row r="1252" customFormat="false" ht="15" hidden="false" customHeight="false" outlineLevel="0" collapsed="false">
      <c r="A1252" s="46" t="s">
        <v>1547</v>
      </c>
      <c r="B1252" s="46"/>
      <c r="C1252" s="46"/>
      <c r="D1252" s="46"/>
      <c r="E1252" s="46"/>
      <c r="F1252" s="46"/>
      <c r="G1252" s="46"/>
      <c r="H1252" s="46"/>
      <c r="I1252" s="46"/>
      <c r="J1252" s="46"/>
      <c r="K1252" s="46"/>
      <c r="L1252" s="46"/>
      <c r="M1252" s="46" t="str">
        <f aca="false">IF(OR(B1252="",I1252=""),"",IFERROR(INDEX('Comment flow'!$C$40:$C$46,MATCH(I1252,'Comment flow'!$A$40:$A$46,0)),""))</f>
        <v/>
      </c>
      <c r="N1252" s="46" t="str">
        <f aca="false">IF(B1252="","",IF(OR(I1252="",I1252="Open: needs a decision",L1252=""),"Open","Closed"))</f>
        <v/>
      </c>
      <c r="O1252" s="46"/>
      <c r="P1252" s="46" t="str">
        <f aca="false">IF(OR(B1252="",I1252&lt;&gt;"Save for a later revision"),"",IF(COUNTIF('Deferred edits'!$K$2:$K$201,A1252)&gt;0,"Yes","● Add to Deferred edits"))</f>
        <v/>
      </c>
    </row>
    <row r="1253" customFormat="false" ht="15" hidden="false" customHeight="false" outlineLevel="0" collapsed="false">
      <c r="A1253" s="46" t="s">
        <v>1548</v>
      </c>
      <c r="B1253" s="46"/>
      <c r="C1253" s="46"/>
      <c r="D1253" s="46"/>
      <c r="E1253" s="46"/>
      <c r="F1253" s="46"/>
      <c r="G1253" s="46"/>
      <c r="H1253" s="46"/>
      <c r="I1253" s="46"/>
      <c r="J1253" s="46"/>
      <c r="K1253" s="46"/>
      <c r="L1253" s="46"/>
      <c r="M1253" s="46" t="str">
        <f aca="false">IF(OR(B1253="",I1253=""),"",IFERROR(INDEX('Comment flow'!$C$40:$C$46,MATCH(I1253,'Comment flow'!$A$40:$A$46,0)),""))</f>
        <v/>
      </c>
      <c r="N1253" s="46" t="str">
        <f aca="false">IF(B1253="","",IF(OR(I1253="",I1253="Open: needs a decision",L1253=""),"Open","Closed"))</f>
        <v/>
      </c>
      <c r="O1253" s="46"/>
      <c r="P1253" s="46" t="str">
        <f aca="false">IF(OR(B1253="",I1253&lt;&gt;"Save for a later revision"),"",IF(COUNTIF('Deferred edits'!$K$2:$K$201,A1253)&gt;0,"Yes","● Add to Deferred edits"))</f>
        <v/>
      </c>
    </row>
    <row r="1254" customFormat="false" ht="15" hidden="false" customHeight="false" outlineLevel="0" collapsed="false">
      <c r="A1254" s="46" t="s">
        <v>1549</v>
      </c>
      <c r="B1254" s="46"/>
      <c r="C1254" s="46"/>
      <c r="D1254" s="46"/>
      <c r="E1254" s="46"/>
      <c r="F1254" s="46"/>
      <c r="G1254" s="46"/>
      <c r="H1254" s="46"/>
      <c r="I1254" s="46"/>
      <c r="J1254" s="46"/>
      <c r="K1254" s="46"/>
      <c r="L1254" s="46"/>
      <c r="M1254" s="46" t="str">
        <f aca="false">IF(OR(B1254="",I1254=""),"",IFERROR(INDEX('Comment flow'!$C$40:$C$46,MATCH(I1254,'Comment flow'!$A$40:$A$46,0)),""))</f>
        <v/>
      </c>
      <c r="N1254" s="46" t="str">
        <f aca="false">IF(B1254="","",IF(OR(I1254="",I1254="Open: needs a decision",L1254=""),"Open","Closed"))</f>
        <v/>
      </c>
      <c r="O1254" s="46"/>
      <c r="P1254" s="46" t="str">
        <f aca="false">IF(OR(B1254="",I1254&lt;&gt;"Save for a later revision"),"",IF(COUNTIF('Deferred edits'!$K$2:$K$201,A1254)&gt;0,"Yes","● Add to Deferred edits"))</f>
        <v/>
      </c>
    </row>
    <row r="1255" customFormat="false" ht="15" hidden="false" customHeight="false" outlineLevel="0" collapsed="false">
      <c r="A1255" s="46" t="s">
        <v>1550</v>
      </c>
      <c r="B1255" s="46"/>
      <c r="C1255" s="46"/>
      <c r="D1255" s="46"/>
      <c r="E1255" s="46"/>
      <c r="F1255" s="46"/>
      <c r="G1255" s="46"/>
      <c r="H1255" s="46"/>
      <c r="I1255" s="46"/>
      <c r="J1255" s="46"/>
      <c r="K1255" s="46"/>
      <c r="L1255" s="46"/>
      <c r="M1255" s="46" t="str">
        <f aca="false">IF(OR(B1255="",I1255=""),"",IFERROR(INDEX('Comment flow'!$C$40:$C$46,MATCH(I1255,'Comment flow'!$A$40:$A$46,0)),""))</f>
        <v/>
      </c>
      <c r="N1255" s="46" t="str">
        <f aca="false">IF(B1255="","",IF(OR(I1255="",I1255="Open: needs a decision",L1255=""),"Open","Closed"))</f>
        <v/>
      </c>
      <c r="O1255" s="46"/>
      <c r="P1255" s="46" t="str">
        <f aca="false">IF(OR(B1255="",I1255&lt;&gt;"Save for a later revision"),"",IF(COUNTIF('Deferred edits'!$K$2:$K$201,A1255)&gt;0,"Yes","● Add to Deferred edits"))</f>
        <v/>
      </c>
    </row>
    <row r="1256" customFormat="false" ht="15" hidden="false" customHeight="false" outlineLevel="0" collapsed="false">
      <c r="A1256" s="46" t="s">
        <v>1551</v>
      </c>
      <c r="B1256" s="46"/>
      <c r="C1256" s="46"/>
      <c r="D1256" s="46"/>
      <c r="E1256" s="46"/>
      <c r="F1256" s="46"/>
      <c r="G1256" s="46"/>
      <c r="H1256" s="46"/>
      <c r="I1256" s="46"/>
      <c r="J1256" s="46"/>
      <c r="K1256" s="46"/>
      <c r="L1256" s="46"/>
      <c r="M1256" s="46" t="str">
        <f aca="false">IF(OR(B1256="",I1256=""),"",IFERROR(INDEX('Comment flow'!$C$40:$C$46,MATCH(I1256,'Comment flow'!$A$40:$A$46,0)),""))</f>
        <v/>
      </c>
      <c r="N1256" s="46" t="str">
        <f aca="false">IF(B1256="","",IF(OR(I1256="",I1256="Open: needs a decision",L1256=""),"Open","Closed"))</f>
        <v/>
      </c>
      <c r="O1256" s="46"/>
      <c r="P1256" s="46" t="str">
        <f aca="false">IF(OR(B1256="",I1256&lt;&gt;"Save for a later revision"),"",IF(COUNTIF('Deferred edits'!$K$2:$K$201,A1256)&gt;0,"Yes","● Add to Deferred edits"))</f>
        <v/>
      </c>
    </row>
    <row r="1257" customFormat="false" ht="15" hidden="false" customHeight="false" outlineLevel="0" collapsed="false">
      <c r="A1257" s="46" t="s">
        <v>1552</v>
      </c>
      <c r="B1257" s="46"/>
      <c r="C1257" s="46"/>
      <c r="D1257" s="46"/>
      <c r="E1257" s="46"/>
      <c r="F1257" s="46"/>
      <c r="G1257" s="46"/>
      <c r="H1257" s="46"/>
      <c r="I1257" s="46"/>
      <c r="J1257" s="46"/>
      <c r="K1257" s="46"/>
      <c r="L1257" s="46"/>
      <c r="M1257" s="46" t="str">
        <f aca="false">IF(OR(B1257="",I1257=""),"",IFERROR(INDEX('Comment flow'!$C$40:$C$46,MATCH(I1257,'Comment flow'!$A$40:$A$46,0)),""))</f>
        <v/>
      </c>
      <c r="N1257" s="46" t="str">
        <f aca="false">IF(B1257="","",IF(OR(I1257="",I1257="Open: needs a decision",L1257=""),"Open","Closed"))</f>
        <v/>
      </c>
      <c r="O1257" s="46"/>
      <c r="P1257" s="46" t="str">
        <f aca="false">IF(OR(B1257="",I1257&lt;&gt;"Save for a later revision"),"",IF(COUNTIF('Deferred edits'!$K$2:$K$201,A1257)&gt;0,"Yes","● Add to Deferred edits"))</f>
        <v/>
      </c>
    </row>
    <row r="1258" customFormat="false" ht="15" hidden="false" customHeight="false" outlineLevel="0" collapsed="false">
      <c r="A1258" s="46" t="s">
        <v>1553</v>
      </c>
      <c r="B1258" s="46"/>
      <c r="C1258" s="46"/>
      <c r="D1258" s="46"/>
      <c r="E1258" s="46"/>
      <c r="F1258" s="46"/>
      <c r="G1258" s="46"/>
      <c r="H1258" s="46"/>
      <c r="I1258" s="46"/>
      <c r="J1258" s="46"/>
      <c r="K1258" s="46"/>
      <c r="L1258" s="46"/>
      <c r="M1258" s="46" t="str">
        <f aca="false">IF(OR(B1258="",I1258=""),"",IFERROR(INDEX('Comment flow'!$C$40:$C$46,MATCH(I1258,'Comment flow'!$A$40:$A$46,0)),""))</f>
        <v/>
      </c>
      <c r="N1258" s="46" t="str">
        <f aca="false">IF(B1258="","",IF(OR(I1258="",I1258="Open: needs a decision",L1258=""),"Open","Closed"))</f>
        <v/>
      </c>
      <c r="O1258" s="46"/>
      <c r="P1258" s="46" t="str">
        <f aca="false">IF(OR(B1258="",I1258&lt;&gt;"Save for a later revision"),"",IF(COUNTIF('Deferred edits'!$K$2:$K$201,A1258)&gt;0,"Yes","● Add to Deferred edits"))</f>
        <v/>
      </c>
    </row>
    <row r="1259" customFormat="false" ht="15" hidden="false" customHeight="false" outlineLevel="0" collapsed="false">
      <c r="A1259" s="46" t="s">
        <v>1554</v>
      </c>
      <c r="B1259" s="46"/>
      <c r="C1259" s="46"/>
      <c r="D1259" s="46"/>
      <c r="E1259" s="46"/>
      <c r="F1259" s="46"/>
      <c r="G1259" s="46"/>
      <c r="H1259" s="46"/>
      <c r="I1259" s="46"/>
      <c r="J1259" s="46"/>
      <c r="K1259" s="46"/>
      <c r="L1259" s="46"/>
      <c r="M1259" s="46" t="str">
        <f aca="false">IF(OR(B1259="",I1259=""),"",IFERROR(INDEX('Comment flow'!$C$40:$C$46,MATCH(I1259,'Comment flow'!$A$40:$A$46,0)),""))</f>
        <v/>
      </c>
      <c r="N1259" s="46" t="str">
        <f aca="false">IF(B1259="","",IF(OR(I1259="",I1259="Open: needs a decision",L1259=""),"Open","Closed"))</f>
        <v/>
      </c>
      <c r="O1259" s="46"/>
      <c r="P1259" s="46" t="str">
        <f aca="false">IF(OR(B1259="",I1259&lt;&gt;"Save for a later revision"),"",IF(COUNTIF('Deferred edits'!$K$2:$K$201,A1259)&gt;0,"Yes","● Add to Deferred edits"))</f>
        <v/>
      </c>
    </row>
    <row r="1260" customFormat="false" ht="15" hidden="false" customHeight="false" outlineLevel="0" collapsed="false">
      <c r="A1260" s="46" t="s">
        <v>1555</v>
      </c>
      <c r="B1260" s="46"/>
      <c r="C1260" s="46"/>
      <c r="D1260" s="46"/>
      <c r="E1260" s="46"/>
      <c r="F1260" s="46"/>
      <c r="G1260" s="46"/>
      <c r="H1260" s="46"/>
      <c r="I1260" s="46"/>
      <c r="J1260" s="46"/>
      <c r="K1260" s="46"/>
      <c r="L1260" s="46"/>
      <c r="M1260" s="46" t="str">
        <f aca="false">IF(OR(B1260="",I1260=""),"",IFERROR(INDEX('Comment flow'!$C$40:$C$46,MATCH(I1260,'Comment flow'!$A$40:$A$46,0)),""))</f>
        <v/>
      </c>
      <c r="N1260" s="46" t="str">
        <f aca="false">IF(B1260="","",IF(OR(I1260="",I1260="Open: needs a decision",L1260=""),"Open","Closed"))</f>
        <v/>
      </c>
      <c r="O1260" s="46"/>
      <c r="P1260" s="46" t="str">
        <f aca="false">IF(OR(B1260="",I1260&lt;&gt;"Save for a later revision"),"",IF(COUNTIF('Deferred edits'!$K$2:$K$201,A1260)&gt;0,"Yes","● Add to Deferred edits"))</f>
        <v/>
      </c>
    </row>
    <row r="1261" customFormat="false" ht="15" hidden="false" customHeight="false" outlineLevel="0" collapsed="false">
      <c r="A1261" s="46" t="s">
        <v>1556</v>
      </c>
      <c r="B1261" s="46"/>
      <c r="C1261" s="46"/>
      <c r="D1261" s="46"/>
      <c r="E1261" s="46"/>
      <c r="F1261" s="46"/>
      <c r="G1261" s="46"/>
      <c r="H1261" s="46"/>
      <c r="I1261" s="46"/>
      <c r="J1261" s="46"/>
      <c r="K1261" s="46"/>
      <c r="L1261" s="46"/>
      <c r="M1261" s="46" t="str">
        <f aca="false">IF(OR(B1261="",I1261=""),"",IFERROR(INDEX('Comment flow'!$C$40:$C$46,MATCH(I1261,'Comment flow'!$A$40:$A$46,0)),""))</f>
        <v/>
      </c>
      <c r="N1261" s="46" t="str">
        <f aca="false">IF(B1261="","",IF(OR(I1261="",I1261="Open: needs a decision",L1261=""),"Open","Closed"))</f>
        <v/>
      </c>
      <c r="O1261" s="46"/>
      <c r="P1261" s="46" t="str">
        <f aca="false">IF(OR(B1261="",I1261&lt;&gt;"Save for a later revision"),"",IF(COUNTIF('Deferred edits'!$K$2:$K$201,A1261)&gt;0,"Yes","● Add to Deferred edits"))</f>
        <v/>
      </c>
    </row>
    <row r="1262" customFormat="false" ht="15" hidden="false" customHeight="false" outlineLevel="0" collapsed="false">
      <c r="A1262" s="46" t="s">
        <v>1557</v>
      </c>
      <c r="B1262" s="46"/>
      <c r="C1262" s="46"/>
      <c r="D1262" s="46"/>
      <c r="E1262" s="46"/>
      <c r="F1262" s="46"/>
      <c r="G1262" s="46"/>
      <c r="H1262" s="46"/>
      <c r="I1262" s="46"/>
      <c r="J1262" s="46"/>
      <c r="K1262" s="46"/>
      <c r="L1262" s="46"/>
      <c r="M1262" s="46" t="str">
        <f aca="false">IF(OR(B1262="",I1262=""),"",IFERROR(INDEX('Comment flow'!$C$40:$C$46,MATCH(I1262,'Comment flow'!$A$40:$A$46,0)),""))</f>
        <v/>
      </c>
      <c r="N1262" s="46" t="str">
        <f aca="false">IF(B1262="","",IF(OR(I1262="",I1262="Open: needs a decision",L1262=""),"Open","Closed"))</f>
        <v/>
      </c>
      <c r="O1262" s="46"/>
      <c r="P1262" s="46" t="str">
        <f aca="false">IF(OR(B1262="",I1262&lt;&gt;"Save for a later revision"),"",IF(COUNTIF('Deferred edits'!$K$2:$K$201,A1262)&gt;0,"Yes","● Add to Deferred edits"))</f>
        <v/>
      </c>
    </row>
    <row r="1263" customFormat="false" ht="15" hidden="false" customHeight="false" outlineLevel="0" collapsed="false">
      <c r="A1263" s="46" t="s">
        <v>1558</v>
      </c>
      <c r="B1263" s="46"/>
      <c r="C1263" s="46"/>
      <c r="D1263" s="46"/>
      <c r="E1263" s="46"/>
      <c r="F1263" s="46"/>
      <c r="G1263" s="46"/>
      <c r="H1263" s="46"/>
      <c r="I1263" s="46"/>
      <c r="J1263" s="46"/>
      <c r="K1263" s="46"/>
      <c r="L1263" s="46"/>
      <c r="M1263" s="46" t="str">
        <f aca="false">IF(OR(B1263="",I1263=""),"",IFERROR(INDEX('Comment flow'!$C$40:$C$46,MATCH(I1263,'Comment flow'!$A$40:$A$46,0)),""))</f>
        <v/>
      </c>
      <c r="N1263" s="46" t="str">
        <f aca="false">IF(B1263="","",IF(OR(I1263="",I1263="Open: needs a decision",L1263=""),"Open","Closed"))</f>
        <v/>
      </c>
      <c r="O1263" s="46"/>
      <c r="P1263" s="46" t="str">
        <f aca="false">IF(OR(B1263="",I1263&lt;&gt;"Save for a later revision"),"",IF(COUNTIF('Deferred edits'!$K$2:$K$201,A1263)&gt;0,"Yes","● Add to Deferred edits"))</f>
        <v/>
      </c>
    </row>
    <row r="1264" customFormat="false" ht="15" hidden="false" customHeight="false" outlineLevel="0" collapsed="false">
      <c r="A1264" s="46" t="s">
        <v>1559</v>
      </c>
      <c r="B1264" s="46"/>
      <c r="C1264" s="46"/>
      <c r="D1264" s="46"/>
      <c r="E1264" s="46"/>
      <c r="F1264" s="46"/>
      <c r="G1264" s="46"/>
      <c r="H1264" s="46"/>
      <c r="I1264" s="46"/>
      <c r="J1264" s="46"/>
      <c r="K1264" s="46"/>
      <c r="L1264" s="46"/>
      <c r="M1264" s="46" t="str">
        <f aca="false">IF(OR(B1264="",I1264=""),"",IFERROR(INDEX('Comment flow'!$C$40:$C$46,MATCH(I1264,'Comment flow'!$A$40:$A$46,0)),""))</f>
        <v/>
      </c>
      <c r="N1264" s="46" t="str">
        <f aca="false">IF(B1264="","",IF(OR(I1264="",I1264="Open: needs a decision",L1264=""),"Open","Closed"))</f>
        <v/>
      </c>
      <c r="O1264" s="46"/>
      <c r="P1264" s="46" t="str">
        <f aca="false">IF(OR(B1264="",I1264&lt;&gt;"Save for a later revision"),"",IF(COUNTIF('Deferred edits'!$K$2:$K$201,A1264)&gt;0,"Yes","● Add to Deferred edits"))</f>
        <v/>
      </c>
    </row>
    <row r="1265" customFormat="false" ht="15" hidden="false" customHeight="false" outlineLevel="0" collapsed="false">
      <c r="A1265" s="46" t="s">
        <v>1560</v>
      </c>
      <c r="B1265" s="46"/>
      <c r="C1265" s="46"/>
      <c r="D1265" s="46"/>
      <c r="E1265" s="46"/>
      <c r="F1265" s="46"/>
      <c r="G1265" s="46"/>
      <c r="H1265" s="46"/>
      <c r="I1265" s="46"/>
      <c r="J1265" s="46"/>
      <c r="K1265" s="46"/>
      <c r="L1265" s="46"/>
      <c r="M1265" s="46" t="str">
        <f aca="false">IF(OR(B1265="",I1265=""),"",IFERROR(INDEX('Comment flow'!$C$40:$C$46,MATCH(I1265,'Comment flow'!$A$40:$A$46,0)),""))</f>
        <v/>
      </c>
      <c r="N1265" s="46" t="str">
        <f aca="false">IF(B1265="","",IF(OR(I1265="",I1265="Open: needs a decision",L1265=""),"Open","Closed"))</f>
        <v/>
      </c>
      <c r="O1265" s="46"/>
      <c r="P1265" s="46" t="str">
        <f aca="false">IF(OR(B1265="",I1265&lt;&gt;"Save for a later revision"),"",IF(COUNTIF('Deferred edits'!$K$2:$K$201,A1265)&gt;0,"Yes","● Add to Deferred edits"))</f>
        <v/>
      </c>
    </row>
    <row r="1266" customFormat="false" ht="15" hidden="false" customHeight="false" outlineLevel="0" collapsed="false">
      <c r="A1266" s="46" t="s">
        <v>1561</v>
      </c>
      <c r="B1266" s="46"/>
      <c r="C1266" s="46"/>
      <c r="D1266" s="46"/>
      <c r="E1266" s="46"/>
      <c r="F1266" s="46"/>
      <c r="G1266" s="46"/>
      <c r="H1266" s="46"/>
      <c r="I1266" s="46"/>
      <c r="J1266" s="46"/>
      <c r="K1266" s="46"/>
      <c r="L1266" s="46"/>
      <c r="M1266" s="46" t="str">
        <f aca="false">IF(OR(B1266="",I1266=""),"",IFERROR(INDEX('Comment flow'!$C$40:$C$46,MATCH(I1266,'Comment flow'!$A$40:$A$46,0)),""))</f>
        <v/>
      </c>
      <c r="N1266" s="46" t="str">
        <f aca="false">IF(B1266="","",IF(OR(I1266="",I1266="Open: needs a decision",L1266=""),"Open","Closed"))</f>
        <v/>
      </c>
      <c r="O1266" s="46"/>
      <c r="P1266" s="46" t="str">
        <f aca="false">IF(OR(B1266="",I1266&lt;&gt;"Save for a later revision"),"",IF(COUNTIF('Deferred edits'!$K$2:$K$201,A1266)&gt;0,"Yes","● Add to Deferred edits"))</f>
        <v/>
      </c>
    </row>
    <row r="1267" customFormat="false" ht="15" hidden="false" customHeight="false" outlineLevel="0" collapsed="false">
      <c r="A1267" s="46" t="s">
        <v>1562</v>
      </c>
      <c r="B1267" s="46"/>
      <c r="C1267" s="46"/>
      <c r="D1267" s="46"/>
      <c r="E1267" s="46"/>
      <c r="F1267" s="46"/>
      <c r="G1267" s="46"/>
      <c r="H1267" s="46"/>
      <c r="I1267" s="46"/>
      <c r="J1267" s="46"/>
      <c r="K1267" s="46"/>
      <c r="L1267" s="46"/>
      <c r="M1267" s="46" t="str">
        <f aca="false">IF(OR(B1267="",I1267=""),"",IFERROR(INDEX('Comment flow'!$C$40:$C$46,MATCH(I1267,'Comment flow'!$A$40:$A$46,0)),""))</f>
        <v/>
      </c>
      <c r="N1267" s="46" t="str">
        <f aca="false">IF(B1267="","",IF(OR(I1267="",I1267="Open: needs a decision",L1267=""),"Open","Closed"))</f>
        <v/>
      </c>
      <c r="O1267" s="46"/>
      <c r="P1267" s="46" t="str">
        <f aca="false">IF(OR(B1267="",I1267&lt;&gt;"Save for a later revision"),"",IF(COUNTIF('Deferred edits'!$K$2:$K$201,A1267)&gt;0,"Yes","● Add to Deferred edits"))</f>
        <v/>
      </c>
    </row>
    <row r="1268" customFormat="false" ht="15" hidden="false" customHeight="false" outlineLevel="0" collapsed="false">
      <c r="A1268" s="46" t="s">
        <v>1563</v>
      </c>
      <c r="B1268" s="46"/>
      <c r="C1268" s="46"/>
      <c r="D1268" s="46"/>
      <c r="E1268" s="46"/>
      <c r="F1268" s="46"/>
      <c r="G1268" s="46"/>
      <c r="H1268" s="46"/>
      <c r="I1268" s="46"/>
      <c r="J1268" s="46"/>
      <c r="K1268" s="46"/>
      <c r="L1268" s="46"/>
      <c r="M1268" s="46" t="str">
        <f aca="false">IF(OR(B1268="",I1268=""),"",IFERROR(INDEX('Comment flow'!$C$40:$C$46,MATCH(I1268,'Comment flow'!$A$40:$A$46,0)),""))</f>
        <v/>
      </c>
      <c r="N1268" s="46" t="str">
        <f aca="false">IF(B1268="","",IF(OR(I1268="",I1268="Open: needs a decision",L1268=""),"Open","Closed"))</f>
        <v/>
      </c>
      <c r="O1268" s="46"/>
      <c r="P1268" s="46" t="str">
        <f aca="false">IF(OR(B1268="",I1268&lt;&gt;"Save for a later revision"),"",IF(COUNTIF('Deferred edits'!$K$2:$K$201,A1268)&gt;0,"Yes","● Add to Deferred edits"))</f>
        <v/>
      </c>
    </row>
    <row r="1269" customFormat="false" ht="15" hidden="false" customHeight="false" outlineLevel="0" collapsed="false">
      <c r="A1269" s="46" t="s">
        <v>1564</v>
      </c>
      <c r="B1269" s="46"/>
      <c r="C1269" s="46"/>
      <c r="D1269" s="46"/>
      <c r="E1269" s="46"/>
      <c r="F1269" s="46"/>
      <c r="G1269" s="46"/>
      <c r="H1269" s="46"/>
      <c r="I1269" s="46"/>
      <c r="J1269" s="46"/>
      <c r="K1269" s="46"/>
      <c r="L1269" s="46"/>
      <c r="M1269" s="46" t="str">
        <f aca="false">IF(OR(B1269="",I1269=""),"",IFERROR(INDEX('Comment flow'!$C$40:$C$46,MATCH(I1269,'Comment flow'!$A$40:$A$46,0)),""))</f>
        <v/>
      </c>
      <c r="N1269" s="46" t="str">
        <f aca="false">IF(B1269="","",IF(OR(I1269="",I1269="Open: needs a decision",L1269=""),"Open","Closed"))</f>
        <v/>
      </c>
      <c r="O1269" s="46"/>
      <c r="P1269" s="46" t="str">
        <f aca="false">IF(OR(B1269="",I1269&lt;&gt;"Save for a later revision"),"",IF(COUNTIF('Deferred edits'!$K$2:$K$201,A1269)&gt;0,"Yes","● Add to Deferred edits"))</f>
        <v/>
      </c>
    </row>
    <row r="1270" customFormat="false" ht="15" hidden="false" customHeight="false" outlineLevel="0" collapsed="false">
      <c r="A1270" s="46" t="s">
        <v>1565</v>
      </c>
      <c r="B1270" s="46"/>
      <c r="C1270" s="46"/>
      <c r="D1270" s="46"/>
      <c r="E1270" s="46"/>
      <c r="F1270" s="46"/>
      <c r="G1270" s="46"/>
      <c r="H1270" s="46"/>
      <c r="I1270" s="46"/>
      <c r="J1270" s="46"/>
      <c r="K1270" s="46"/>
      <c r="L1270" s="46"/>
      <c r="M1270" s="46" t="str">
        <f aca="false">IF(OR(B1270="",I1270=""),"",IFERROR(INDEX('Comment flow'!$C$40:$C$46,MATCH(I1270,'Comment flow'!$A$40:$A$46,0)),""))</f>
        <v/>
      </c>
      <c r="N1270" s="46" t="str">
        <f aca="false">IF(B1270="","",IF(OR(I1270="",I1270="Open: needs a decision",L1270=""),"Open","Closed"))</f>
        <v/>
      </c>
      <c r="O1270" s="46"/>
      <c r="P1270" s="46" t="str">
        <f aca="false">IF(OR(B1270="",I1270&lt;&gt;"Save for a later revision"),"",IF(COUNTIF('Deferred edits'!$K$2:$K$201,A1270)&gt;0,"Yes","● Add to Deferred edits"))</f>
        <v/>
      </c>
    </row>
    <row r="1271" customFormat="false" ht="15" hidden="false" customHeight="false" outlineLevel="0" collapsed="false">
      <c r="A1271" s="46" t="s">
        <v>1566</v>
      </c>
      <c r="B1271" s="46"/>
      <c r="C1271" s="46"/>
      <c r="D1271" s="46"/>
      <c r="E1271" s="46"/>
      <c r="F1271" s="46"/>
      <c r="G1271" s="46"/>
      <c r="H1271" s="46"/>
      <c r="I1271" s="46"/>
      <c r="J1271" s="46"/>
      <c r="K1271" s="46"/>
      <c r="L1271" s="46"/>
      <c r="M1271" s="46" t="str">
        <f aca="false">IF(OR(B1271="",I1271=""),"",IFERROR(INDEX('Comment flow'!$C$40:$C$46,MATCH(I1271,'Comment flow'!$A$40:$A$46,0)),""))</f>
        <v/>
      </c>
      <c r="N1271" s="46" t="str">
        <f aca="false">IF(B1271="","",IF(OR(I1271="",I1271="Open: needs a decision",L1271=""),"Open","Closed"))</f>
        <v/>
      </c>
      <c r="O1271" s="46"/>
      <c r="P1271" s="46" t="str">
        <f aca="false">IF(OR(B1271="",I1271&lt;&gt;"Save for a later revision"),"",IF(COUNTIF('Deferred edits'!$K$2:$K$201,A1271)&gt;0,"Yes","● Add to Deferred edits"))</f>
        <v/>
      </c>
    </row>
    <row r="1272" customFormat="false" ht="15" hidden="false" customHeight="false" outlineLevel="0" collapsed="false">
      <c r="A1272" s="46" t="s">
        <v>1567</v>
      </c>
      <c r="B1272" s="46"/>
      <c r="C1272" s="46"/>
      <c r="D1272" s="46"/>
      <c r="E1272" s="46"/>
      <c r="F1272" s="46"/>
      <c r="G1272" s="46"/>
      <c r="H1272" s="46"/>
      <c r="I1272" s="46"/>
      <c r="J1272" s="46"/>
      <c r="K1272" s="46"/>
      <c r="L1272" s="46"/>
      <c r="M1272" s="46" t="str">
        <f aca="false">IF(OR(B1272="",I1272=""),"",IFERROR(INDEX('Comment flow'!$C$40:$C$46,MATCH(I1272,'Comment flow'!$A$40:$A$46,0)),""))</f>
        <v/>
      </c>
      <c r="N1272" s="46" t="str">
        <f aca="false">IF(B1272="","",IF(OR(I1272="",I1272="Open: needs a decision",L1272=""),"Open","Closed"))</f>
        <v/>
      </c>
      <c r="O1272" s="46"/>
      <c r="P1272" s="46" t="str">
        <f aca="false">IF(OR(B1272="",I1272&lt;&gt;"Save for a later revision"),"",IF(COUNTIF('Deferred edits'!$K$2:$K$201,A1272)&gt;0,"Yes","● Add to Deferred edits"))</f>
        <v/>
      </c>
    </row>
    <row r="1273" customFormat="false" ht="15" hidden="false" customHeight="false" outlineLevel="0" collapsed="false">
      <c r="A1273" s="46" t="s">
        <v>1568</v>
      </c>
      <c r="B1273" s="46"/>
      <c r="C1273" s="46"/>
      <c r="D1273" s="46"/>
      <c r="E1273" s="46"/>
      <c r="F1273" s="46"/>
      <c r="G1273" s="46"/>
      <c r="H1273" s="46"/>
      <c r="I1273" s="46"/>
      <c r="J1273" s="46"/>
      <c r="K1273" s="46"/>
      <c r="L1273" s="46"/>
      <c r="M1273" s="46" t="str">
        <f aca="false">IF(OR(B1273="",I1273=""),"",IFERROR(INDEX('Comment flow'!$C$40:$C$46,MATCH(I1273,'Comment flow'!$A$40:$A$46,0)),""))</f>
        <v/>
      </c>
      <c r="N1273" s="46" t="str">
        <f aca="false">IF(B1273="","",IF(OR(I1273="",I1273="Open: needs a decision",L1273=""),"Open","Closed"))</f>
        <v/>
      </c>
      <c r="O1273" s="46"/>
      <c r="P1273" s="46" t="str">
        <f aca="false">IF(OR(B1273="",I1273&lt;&gt;"Save for a later revision"),"",IF(COUNTIF('Deferred edits'!$K$2:$K$201,A1273)&gt;0,"Yes","● Add to Deferred edits"))</f>
        <v/>
      </c>
    </row>
    <row r="1274" customFormat="false" ht="15" hidden="false" customHeight="false" outlineLevel="0" collapsed="false">
      <c r="A1274" s="46" t="s">
        <v>1569</v>
      </c>
      <c r="B1274" s="46"/>
      <c r="C1274" s="46"/>
      <c r="D1274" s="46"/>
      <c r="E1274" s="46"/>
      <c r="F1274" s="46"/>
      <c r="G1274" s="46"/>
      <c r="H1274" s="46"/>
      <c r="I1274" s="46"/>
      <c r="J1274" s="46"/>
      <c r="K1274" s="46"/>
      <c r="L1274" s="46"/>
      <c r="M1274" s="46" t="str">
        <f aca="false">IF(OR(B1274="",I1274=""),"",IFERROR(INDEX('Comment flow'!$C$40:$C$46,MATCH(I1274,'Comment flow'!$A$40:$A$46,0)),""))</f>
        <v/>
      </c>
      <c r="N1274" s="46" t="str">
        <f aca="false">IF(B1274="","",IF(OR(I1274="",I1274="Open: needs a decision",L1274=""),"Open","Closed"))</f>
        <v/>
      </c>
      <c r="O1274" s="46"/>
      <c r="P1274" s="46" t="str">
        <f aca="false">IF(OR(B1274="",I1274&lt;&gt;"Save for a later revision"),"",IF(COUNTIF('Deferred edits'!$K$2:$K$201,A1274)&gt;0,"Yes","● Add to Deferred edits"))</f>
        <v/>
      </c>
    </row>
    <row r="1275" customFormat="false" ht="15" hidden="false" customHeight="false" outlineLevel="0" collapsed="false">
      <c r="A1275" s="46" t="s">
        <v>1570</v>
      </c>
      <c r="B1275" s="46"/>
      <c r="C1275" s="46"/>
      <c r="D1275" s="46"/>
      <c r="E1275" s="46"/>
      <c r="F1275" s="46"/>
      <c r="G1275" s="46"/>
      <c r="H1275" s="46"/>
      <c r="I1275" s="46"/>
      <c r="J1275" s="46"/>
      <c r="K1275" s="46"/>
      <c r="L1275" s="46"/>
      <c r="M1275" s="46" t="str">
        <f aca="false">IF(OR(B1275="",I1275=""),"",IFERROR(INDEX('Comment flow'!$C$40:$C$46,MATCH(I1275,'Comment flow'!$A$40:$A$46,0)),""))</f>
        <v/>
      </c>
      <c r="N1275" s="46" t="str">
        <f aca="false">IF(B1275="","",IF(OR(I1275="",I1275="Open: needs a decision",L1275=""),"Open","Closed"))</f>
        <v/>
      </c>
      <c r="O1275" s="46"/>
      <c r="P1275" s="46" t="str">
        <f aca="false">IF(OR(B1275="",I1275&lt;&gt;"Save for a later revision"),"",IF(COUNTIF('Deferred edits'!$K$2:$K$201,A1275)&gt;0,"Yes","● Add to Deferred edits"))</f>
        <v/>
      </c>
    </row>
    <row r="1276" customFormat="false" ht="15" hidden="false" customHeight="false" outlineLevel="0" collapsed="false">
      <c r="A1276" s="46" t="s">
        <v>1571</v>
      </c>
      <c r="B1276" s="46"/>
      <c r="C1276" s="46"/>
      <c r="D1276" s="46"/>
      <c r="E1276" s="46"/>
      <c r="F1276" s="46"/>
      <c r="G1276" s="46"/>
      <c r="H1276" s="46"/>
      <c r="I1276" s="46"/>
      <c r="J1276" s="46"/>
      <c r="K1276" s="46"/>
      <c r="L1276" s="46"/>
      <c r="M1276" s="46" t="str">
        <f aca="false">IF(OR(B1276="",I1276=""),"",IFERROR(INDEX('Comment flow'!$C$40:$C$46,MATCH(I1276,'Comment flow'!$A$40:$A$46,0)),""))</f>
        <v/>
      </c>
      <c r="N1276" s="46" t="str">
        <f aca="false">IF(B1276="","",IF(OR(I1276="",I1276="Open: needs a decision",L1276=""),"Open","Closed"))</f>
        <v/>
      </c>
      <c r="O1276" s="46"/>
      <c r="P1276" s="46" t="str">
        <f aca="false">IF(OR(B1276="",I1276&lt;&gt;"Save for a later revision"),"",IF(COUNTIF('Deferred edits'!$K$2:$K$201,A1276)&gt;0,"Yes","● Add to Deferred edits"))</f>
        <v/>
      </c>
    </row>
    <row r="1277" customFormat="false" ht="15" hidden="false" customHeight="false" outlineLevel="0" collapsed="false">
      <c r="A1277" s="46" t="s">
        <v>1572</v>
      </c>
      <c r="B1277" s="46"/>
      <c r="C1277" s="46"/>
      <c r="D1277" s="46"/>
      <c r="E1277" s="46"/>
      <c r="F1277" s="46"/>
      <c r="G1277" s="46"/>
      <c r="H1277" s="46"/>
      <c r="I1277" s="46"/>
      <c r="J1277" s="46"/>
      <c r="K1277" s="46"/>
      <c r="L1277" s="46"/>
      <c r="M1277" s="46" t="str">
        <f aca="false">IF(OR(B1277="",I1277=""),"",IFERROR(INDEX('Comment flow'!$C$40:$C$46,MATCH(I1277,'Comment flow'!$A$40:$A$46,0)),""))</f>
        <v/>
      </c>
      <c r="N1277" s="46" t="str">
        <f aca="false">IF(B1277="","",IF(OR(I1277="",I1277="Open: needs a decision",L1277=""),"Open","Closed"))</f>
        <v/>
      </c>
      <c r="O1277" s="46"/>
      <c r="P1277" s="46" t="str">
        <f aca="false">IF(OR(B1277="",I1277&lt;&gt;"Save for a later revision"),"",IF(COUNTIF('Deferred edits'!$K$2:$K$201,A1277)&gt;0,"Yes","● Add to Deferred edits"))</f>
        <v/>
      </c>
    </row>
    <row r="1278" customFormat="false" ht="15" hidden="false" customHeight="false" outlineLevel="0" collapsed="false">
      <c r="A1278" s="46" t="s">
        <v>1573</v>
      </c>
      <c r="B1278" s="46"/>
      <c r="C1278" s="46"/>
      <c r="D1278" s="46"/>
      <c r="E1278" s="46"/>
      <c r="F1278" s="46"/>
      <c r="G1278" s="46"/>
      <c r="H1278" s="46"/>
      <c r="I1278" s="46"/>
      <c r="J1278" s="46"/>
      <c r="K1278" s="46"/>
      <c r="L1278" s="46"/>
      <c r="M1278" s="46" t="str">
        <f aca="false">IF(OR(B1278="",I1278=""),"",IFERROR(INDEX('Comment flow'!$C$40:$C$46,MATCH(I1278,'Comment flow'!$A$40:$A$46,0)),""))</f>
        <v/>
      </c>
      <c r="N1278" s="46" t="str">
        <f aca="false">IF(B1278="","",IF(OR(I1278="",I1278="Open: needs a decision",L1278=""),"Open","Closed"))</f>
        <v/>
      </c>
      <c r="O1278" s="46"/>
      <c r="P1278" s="46" t="str">
        <f aca="false">IF(OR(B1278="",I1278&lt;&gt;"Save for a later revision"),"",IF(COUNTIF('Deferred edits'!$K$2:$K$201,A1278)&gt;0,"Yes","● Add to Deferred edits"))</f>
        <v/>
      </c>
    </row>
    <row r="1279" customFormat="false" ht="15" hidden="false" customHeight="false" outlineLevel="0" collapsed="false">
      <c r="A1279" s="46" t="s">
        <v>1574</v>
      </c>
      <c r="B1279" s="46"/>
      <c r="C1279" s="46"/>
      <c r="D1279" s="46"/>
      <c r="E1279" s="46"/>
      <c r="F1279" s="46"/>
      <c r="G1279" s="46"/>
      <c r="H1279" s="46"/>
      <c r="I1279" s="46"/>
      <c r="J1279" s="46"/>
      <c r="K1279" s="46"/>
      <c r="L1279" s="46"/>
      <c r="M1279" s="46" t="str">
        <f aca="false">IF(OR(B1279="",I1279=""),"",IFERROR(INDEX('Comment flow'!$C$40:$C$46,MATCH(I1279,'Comment flow'!$A$40:$A$46,0)),""))</f>
        <v/>
      </c>
      <c r="N1279" s="46" t="str">
        <f aca="false">IF(B1279="","",IF(OR(I1279="",I1279="Open: needs a decision",L1279=""),"Open","Closed"))</f>
        <v/>
      </c>
      <c r="O1279" s="46"/>
      <c r="P1279" s="46" t="str">
        <f aca="false">IF(OR(B1279="",I1279&lt;&gt;"Save for a later revision"),"",IF(COUNTIF('Deferred edits'!$K$2:$K$201,A1279)&gt;0,"Yes","● Add to Deferred edits"))</f>
        <v/>
      </c>
    </row>
    <row r="1280" customFormat="false" ht="15" hidden="false" customHeight="false" outlineLevel="0" collapsed="false">
      <c r="A1280" s="46" t="s">
        <v>1575</v>
      </c>
      <c r="B1280" s="46"/>
      <c r="C1280" s="46"/>
      <c r="D1280" s="46"/>
      <c r="E1280" s="46"/>
      <c r="F1280" s="46"/>
      <c r="G1280" s="46"/>
      <c r="H1280" s="46"/>
      <c r="I1280" s="46"/>
      <c r="J1280" s="46"/>
      <c r="K1280" s="46"/>
      <c r="L1280" s="46"/>
      <c r="M1280" s="46" t="str">
        <f aca="false">IF(OR(B1280="",I1280=""),"",IFERROR(INDEX('Comment flow'!$C$40:$C$46,MATCH(I1280,'Comment flow'!$A$40:$A$46,0)),""))</f>
        <v/>
      </c>
      <c r="N1280" s="46" t="str">
        <f aca="false">IF(B1280="","",IF(OR(I1280="",I1280="Open: needs a decision",L1280=""),"Open","Closed"))</f>
        <v/>
      </c>
      <c r="O1280" s="46"/>
      <c r="P1280" s="46" t="str">
        <f aca="false">IF(OR(B1280="",I1280&lt;&gt;"Save for a later revision"),"",IF(COUNTIF('Deferred edits'!$K$2:$K$201,A1280)&gt;0,"Yes","● Add to Deferred edits"))</f>
        <v/>
      </c>
    </row>
    <row r="1281" customFormat="false" ht="15" hidden="false" customHeight="false" outlineLevel="0" collapsed="false">
      <c r="A1281" s="46" t="s">
        <v>1576</v>
      </c>
      <c r="B1281" s="46"/>
      <c r="C1281" s="46"/>
      <c r="D1281" s="46"/>
      <c r="E1281" s="46"/>
      <c r="F1281" s="46"/>
      <c r="G1281" s="46"/>
      <c r="H1281" s="46"/>
      <c r="I1281" s="46"/>
      <c r="J1281" s="46"/>
      <c r="K1281" s="46"/>
      <c r="L1281" s="46"/>
      <c r="M1281" s="46" t="str">
        <f aca="false">IF(OR(B1281="",I1281=""),"",IFERROR(INDEX('Comment flow'!$C$40:$C$46,MATCH(I1281,'Comment flow'!$A$40:$A$46,0)),""))</f>
        <v/>
      </c>
      <c r="N1281" s="46" t="str">
        <f aca="false">IF(B1281="","",IF(OR(I1281="",I1281="Open: needs a decision",L1281=""),"Open","Closed"))</f>
        <v/>
      </c>
      <c r="O1281" s="46"/>
      <c r="P1281" s="46" t="str">
        <f aca="false">IF(OR(B1281="",I1281&lt;&gt;"Save for a later revision"),"",IF(COUNTIF('Deferred edits'!$K$2:$K$201,A1281)&gt;0,"Yes","● Add to Deferred edits"))</f>
        <v/>
      </c>
    </row>
    <row r="1282" customFormat="false" ht="15" hidden="false" customHeight="false" outlineLevel="0" collapsed="false">
      <c r="A1282" s="46" t="s">
        <v>1577</v>
      </c>
      <c r="B1282" s="46"/>
      <c r="C1282" s="46"/>
      <c r="D1282" s="46"/>
      <c r="E1282" s="46"/>
      <c r="F1282" s="46"/>
      <c r="G1282" s="46"/>
      <c r="H1282" s="46"/>
      <c r="I1282" s="46"/>
      <c r="J1282" s="46"/>
      <c r="K1282" s="46"/>
      <c r="L1282" s="46"/>
      <c r="M1282" s="46" t="str">
        <f aca="false">IF(OR(B1282="",I1282=""),"",IFERROR(INDEX('Comment flow'!$C$40:$C$46,MATCH(I1282,'Comment flow'!$A$40:$A$46,0)),""))</f>
        <v/>
      </c>
      <c r="N1282" s="46" t="str">
        <f aca="false">IF(B1282="","",IF(OR(I1282="",I1282="Open: needs a decision",L1282=""),"Open","Closed"))</f>
        <v/>
      </c>
      <c r="O1282" s="46"/>
      <c r="P1282" s="46" t="str">
        <f aca="false">IF(OR(B1282="",I1282&lt;&gt;"Save for a later revision"),"",IF(COUNTIF('Deferred edits'!$K$2:$K$201,A1282)&gt;0,"Yes","● Add to Deferred edits"))</f>
        <v/>
      </c>
    </row>
    <row r="1283" customFormat="false" ht="15" hidden="false" customHeight="false" outlineLevel="0" collapsed="false">
      <c r="A1283" s="46" t="s">
        <v>1578</v>
      </c>
      <c r="B1283" s="46"/>
      <c r="C1283" s="46"/>
      <c r="D1283" s="46"/>
      <c r="E1283" s="46"/>
      <c r="F1283" s="46"/>
      <c r="G1283" s="46"/>
      <c r="H1283" s="46"/>
      <c r="I1283" s="46"/>
      <c r="J1283" s="46"/>
      <c r="K1283" s="46"/>
      <c r="L1283" s="46"/>
      <c r="M1283" s="46" t="str">
        <f aca="false">IF(OR(B1283="",I1283=""),"",IFERROR(INDEX('Comment flow'!$C$40:$C$46,MATCH(I1283,'Comment flow'!$A$40:$A$46,0)),""))</f>
        <v/>
      </c>
      <c r="N1283" s="46" t="str">
        <f aca="false">IF(B1283="","",IF(OR(I1283="",I1283="Open: needs a decision",L1283=""),"Open","Closed"))</f>
        <v/>
      </c>
      <c r="O1283" s="46"/>
      <c r="P1283" s="46" t="str">
        <f aca="false">IF(OR(B1283="",I1283&lt;&gt;"Save for a later revision"),"",IF(COUNTIF('Deferred edits'!$K$2:$K$201,A1283)&gt;0,"Yes","● Add to Deferred edits"))</f>
        <v/>
      </c>
    </row>
    <row r="1284" customFormat="false" ht="15" hidden="false" customHeight="false" outlineLevel="0" collapsed="false">
      <c r="A1284" s="46" t="s">
        <v>1579</v>
      </c>
      <c r="B1284" s="46"/>
      <c r="C1284" s="46"/>
      <c r="D1284" s="46"/>
      <c r="E1284" s="46"/>
      <c r="F1284" s="46"/>
      <c r="G1284" s="46"/>
      <c r="H1284" s="46"/>
      <c r="I1284" s="46"/>
      <c r="J1284" s="46"/>
      <c r="K1284" s="46"/>
      <c r="L1284" s="46"/>
      <c r="M1284" s="46" t="str">
        <f aca="false">IF(OR(B1284="",I1284=""),"",IFERROR(INDEX('Comment flow'!$C$40:$C$46,MATCH(I1284,'Comment flow'!$A$40:$A$46,0)),""))</f>
        <v/>
      </c>
      <c r="N1284" s="46" t="str">
        <f aca="false">IF(B1284="","",IF(OR(I1284="",I1284="Open: needs a decision",L1284=""),"Open","Closed"))</f>
        <v/>
      </c>
      <c r="O1284" s="46"/>
      <c r="P1284" s="46" t="str">
        <f aca="false">IF(OR(B1284="",I1284&lt;&gt;"Save for a later revision"),"",IF(COUNTIF('Deferred edits'!$K$2:$K$201,A1284)&gt;0,"Yes","● Add to Deferred edits"))</f>
        <v/>
      </c>
    </row>
    <row r="1285" customFormat="false" ht="15" hidden="false" customHeight="false" outlineLevel="0" collapsed="false">
      <c r="A1285" s="46" t="s">
        <v>1580</v>
      </c>
      <c r="B1285" s="46"/>
      <c r="C1285" s="46"/>
      <c r="D1285" s="46"/>
      <c r="E1285" s="46"/>
      <c r="F1285" s="46"/>
      <c r="G1285" s="46"/>
      <c r="H1285" s="46"/>
      <c r="I1285" s="46"/>
      <c r="J1285" s="46"/>
      <c r="K1285" s="46"/>
      <c r="L1285" s="46"/>
      <c r="M1285" s="46" t="str">
        <f aca="false">IF(OR(B1285="",I1285=""),"",IFERROR(INDEX('Comment flow'!$C$40:$C$46,MATCH(I1285,'Comment flow'!$A$40:$A$46,0)),""))</f>
        <v/>
      </c>
      <c r="N1285" s="46" t="str">
        <f aca="false">IF(B1285="","",IF(OR(I1285="",I1285="Open: needs a decision",L1285=""),"Open","Closed"))</f>
        <v/>
      </c>
      <c r="O1285" s="46"/>
      <c r="P1285" s="46" t="str">
        <f aca="false">IF(OR(B1285="",I1285&lt;&gt;"Save for a later revision"),"",IF(COUNTIF('Deferred edits'!$K$2:$K$201,A1285)&gt;0,"Yes","● Add to Deferred edits"))</f>
        <v/>
      </c>
    </row>
    <row r="1286" customFormat="false" ht="15" hidden="false" customHeight="false" outlineLevel="0" collapsed="false">
      <c r="A1286" s="46" t="s">
        <v>1581</v>
      </c>
      <c r="B1286" s="46"/>
      <c r="C1286" s="46"/>
      <c r="D1286" s="46"/>
      <c r="E1286" s="46"/>
      <c r="F1286" s="46"/>
      <c r="G1286" s="46"/>
      <c r="H1286" s="46"/>
      <c r="I1286" s="46"/>
      <c r="J1286" s="46"/>
      <c r="K1286" s="46"/>
      <c r="L1286" s="46"/>
      <c r="M1286" s="46" t="str">
        <f aca="false">IF(OR(B1286="",I1286=""),"",IFERROR(INDEX('Comment flow'!$C$40:$C$46,MATCH(I1286,'Comment flow'!$A$40:$A$46,0)),""))</f>
        <v/>
      </c>
      <c r="N1286" s="46" t="str">
        <f aca="false">IF(B1286="","",IF(OR(I1286="",I1286="Open: needs a decision",L1286=""),"Open","Closed"))</f>
        <v/>
      </c>
      <c r="O1286" s="46"/>
      <c r="P1286" s="46" t="str">
        <f aca="false">IF(OR(B1286="",I1286&lt;&gt;"Save for a later revision"),"",IF(COUNTIF('Deferred edits'!$K$2:$K$201,A1286)&gt;0,"Yes","● Add to Deferred edits"))</f>
        <v/>
      </c>
    </row>
    <row r="1287" customFormat="false" ht="15" hidden="false" customHeight="false" outlineLevel="0" collapsed="false">
      <c r="A1287" s="46" t="s">
        <v>1582</v>
      </c>
      <c r="B1287" s="46"/>
      <c r="C1287" s="46"/>
      <c r="D1287" s="46"/>
      <c r="E1287" s="46"/>
      <c r="F1287" s="46"/>
      <c r="G1287" s="46"/>
      <c r="H1287" s="46"/>
      <c r="I1287" s="46"/>
      <c r="J1287" s="46"/>
      <c r="K1287" s="46"/>
      <c r="L1287" s="46"/>
      <c r="M1287" s="46" t="str">
        <f aca="false">IF(OR(B1287="",I1287=""),"",IFERROR(INDEX('Comment flow'!$C$40:$C$46,MATCH(I1287,'Comment flow'!$A$40:$A$46,0)),""))</f>
        <v/>
      </c>
      <c r="N1287" s="46" t="str">
        <f aca="false">IF(B1287="","",IF(OR(I1287="",I1287="Open: needs a decision",L1287=""),"Open","Closed"))</f>
        <v/>
      </c>
      <c r="O1287" s="46"/>
      <c r="P1287" s="46" t="str">
        <f aca="false">IF(OR(B1287="",I1287&lt;&gt;"Save for a later revision"),"",IF(COUNTIF('Deferred edits'!$K$2:$K$201,A1287)&gt;0,"Yes","● Add to Deferred edits"))</f>
        <v/>
      </c>
    </row>
    <row r="1288" customFormat="false" ht="15" hidden="false" customHeight="false" outlineLevel="0" collapsed="false">
      <c r="A1288" s="46" t="s">
        <v>1583</v>
      </c>
      <c r="B1288" s="46"/>
      <c r="C1288" s="46"/>
      <c r="D1288" s="46"/>
      <c r="E1288" s="46"/>
      <c r="F1288" s="46"/>
      <c r="G1288" s="46"/>
      <c r="H1288" s="46"/>
      <c r="I1288" s="46"/>
      <c r="J1288" s="46"/>
      <c r="K1288" s="46"/>
      <c r="L1288" s="46"/>
      <c r="M1288" s="46" t="str">
        <f aca="false">IF(OR(B1288="",I1288=""),"",IFERROR(INDEX('Comment flow'!$C$40:$C$46,MATCH(I1288,'Comment flow'!$A$40:$A$46,0)),""))</f>
        <v/>
      </c>
      <c r="N1288" s="46" t="str">
        <f aca="false">IF(B1288="","",IF(OR(I1288="",I1288="Open: needs a decision",L1288=""),"Open","Closed"))</f>
        <v/>
      </c>
      <c r="O1288" s="46"/>
      <c r="P1288" s="46" t="str">
        <f aca="false">IF(OR(B1288="",I1288&lt;&gt;"Save for a later revision"),"",IF(COUNTIF('Deferred edits'!$K$2:$K$201,A1288)&gt;0,"Yes","● Add to Deferred edits"))</f>
        <v/>
      </c>
    </row>
    <row r="1289" customFormat="false" ht="15" hidden="false" customHeight="false" outlineLevel="0" collapsed="false">
      <c r="A1289" s="46" t="s">
        <v>1584</v>
      </c>
      <c r="B1289" s="46"/>
      <c r="C1289" s="46"/>
      <c r="D1289" s="46"/>
      <c r="E1289" s="46"/>
      <c r="F1289" s="46"/>
      <c r="G1289" s="46"/>
      <c r="H1289" s="46"/>
      <c r="I1289" s="46"/>
      <c r="J1289" s="46"/>
      <c r="K1289" s="46"/>
      <c r="L1289" s="46"/>
      <c r="M1289" s="46" t="str">
        <f aca="false">IF(OR(B1289="",I1289=""),"",IFERROR(INDEX('Comment flow'!$C$40:$C$46,MATCH(I1289,'Comment flow'!$A$40:$A$46,0)),""))</f>
        <v/>
      </c>
      <c r="N1289" s="46" t="str">
        <f aca="false">IF(B1289="","",IF(OR(I1289="",I1289="Open: needs a decision",L1289=""),"Open","Closed"))</f>
        <v/>
      </c>
      <c r="O1289" s="46"/>
      <c r="P1289" s="46" t="str">
        <f aca="false">IF(OR(B1289="",I1289&lt;&gt;"Save for a later revision"),"",IF(COUNTIF('Deferred edits'!$K$2:$K$201,A1289)&gt;0,"Yes","● Add to Deferred edits"))</f>
        <v/>
      </c>
    </row>
    <row r="1290" customFormat="false" ht="15" hidden="false" customHeight="false" outlineLevel="0" collapsed="false">
      <c r="A1290" s="46" t="s">
        <v>1585</v>
      </c>
      <c r="B1290" s="46"/>
      <c r="C1290" s="46"/>
      <c r="D1290" s="46"/>
      <c r="E1290" s="46"/>
      <c r="F1290" s="46"/>
      <c r="G1290" s="46"/>
      <c r="H1290" s="46"/>
      <c r="I1290" s="46"/>
      <c r="J1290" s="46"/>
      <c r="K1290" s="46"/>
      <c r="L1290" s="46"/>
      <c r="M1290" s="46" t="str">
        <f aca="false">IF(OR(B1290="",I1290=""),"",IFERROR(INDEX('Comment flow'!$C$40:$C$46,MATCH(I1290,'Comment flow'!$A$40:$A$46,0)),""))</f>
        <v/>
      </c>
      <c r="N1290" s="46" t="str">
        <f aca="false">IF(B1290="","",IF(OR(I1290="",I1290="Open: needs a decision",L1290=""),"Open","Closed"))</f>
        <v/>
      </c>
      <c r="O1290" s="46"/>
      <c r="P1290" s="46" t="str">
        <f aca="false">IF(OR(B1290="",I1290&lt;&gt;"Save for a later revision"),"",IF(COUNTIF('Deferred edits'!$K$2:$K$201,A1290)&gt;0,"Yes","● Add to Deferred edits"))</f>
        <v/>
      </c>
    </row>
    <row r="1291" customFormat="false" ht="15" hidden="false" customHeight="false" outlineLevel="0" collapsed="false">
      <c r="A1291" s="46" t="s">
        <v>1586</v>
      </c>
      <c r="B1291" s="46"/>
      <c r="C1291" s="46"/>
      <c r="D1291" s="46"/>
      <c r="E1291" s="46"/>
      <c r="F1291" s="46"/>
      <c r="G1291" s="46"/>
      <c r="H1291" s="46"/>
      <c r="I1291" s="46"/>
      <c r="J1291" s="46"/>
      <c r="K1291" s="46"/>
      <c r="L1291" s="46"/>
      <c r="M1291" s="46" t="str">
        <f aca="false">IF(OR(B1291="",I1291=""),"",IFERROR(INDEX('Comment flow'!$C$40:$C$46,MATCH(I1291,'Comment flow'!$A$40:$A$46,0)),""))</f>
        <v/>
      </c>
      <c r="N1291" s="46" t="str">
        <f aca="false">IF(B1291="","",IF(OR(I1291="",I1291="Open: needs a decision",L1291=""),"Open","Closed"))</f>
        <v/>
      </c>
      <c r="O1291" s="46"/>
      <c r="P1291" s="46" t="str">
        <f aca="false">IF(OR(B1291="",I1291&lt;&gt;"Save for a later revision"),"",IF(COUNTIF('Deferred edits'!$K$2:$K$201,A1291)&gt;0,"Yes","● Add to Deferred edits"))</f>
        <v/>
      </c>
    </row>
    <row r="1292" customFormat="false" ht="15" hidden="false" customHeight="false" outlineLevel="0" collapsed="false">
      <c r="A1292" s="46" t="s">
        <v>1587</v>
      </c>
      <c r="B1292" s="46"/>
      <c r="C1292" s="46"/>
      <c r="D1292" s="46"/>
      <c r="E1292" s="46"/>
      <c r="F1292" s="46"/>
      <c r="G1292" s="46"/>
      <c r="H1292" s="46"/>
      <c r="I1292" s="46"/>
      <c r="J1292" s="46"/>
      <c r="K1292" s="46"/>
      <c r="L1292" s="46"/>
      <c r="M1292" s="46" t="str">
        <f aca="false">IF(OR(B1292="",I1292=""),"",IFERROR(INDEX('Comment flow'!$C$40:$C$46,MATCH(I1292,'Comment flow'!$A$40:$A$46,0)),""))</f>
        <v/>
      </c>
      <c r="N1292" s="46" t="str">
        <f aca="false">IF(B1292="","",IF(OR(I1292="",I1292="Open: needs a decision",L1292=""),"Open","Closed"))</f>
        <v/>
      </c>
      <c r="O1292" s="46"/>
      <c r="P1292" s="46" t="str">
        <f aca="false">IF(OR(B1292="",I1292&lt;&gt;"Save for a later revision"),"",IF(COUNTIF('Deferred edits'!$K$2:$K$201,A1292)&gt;0,"Yes","● Add to Deferred edits"))</f>
        <v/>
      </c>
    </row>
    <row r="1293" customFormat="false" ht="15" hidden="false" customHeight="false" outlineLevel="0" collapsed="false">
      <c r="A1293" s="46" t="s">
        <v>1588</v>
      </c>
      <c r="B1293" s="46"/>
      <c r="C1293" s="46"/>
      <c r="D1293" s="46"/>
      <c r="E1293" s="46"/>
      <c r="F1293" s="46"/>
      <c r="G1293" s="46"/>
      <c r="H1293" s="46"/>
      <c r="I1293" s="46"/>
      <c r="J1293" s="46"/>
      <c r="K1293" s="46"/>
      <c r="L1293" s="46"/>
      <c r="M1293" s="46" t="str">
        <f aca="false">IF(OR(B1293="",I1293=""),"",IFERROR(INDEX('Comment flow'!$C$40:$C$46,MATCH(I1293,'Comment flow'!$A$40:$A$46,0)),""))</f>
        <v/>
      </c>
      <c r="N1293" s="46" t="str">
        <f aca="false">IF(B1293="","",IF(OR(I1293="",I1293="Open: needs a decision",L1293=""),"Open","Closed"))</f>
        <v/>
      </c>
      <c r="O1293" s="46"/>
      <c r="P1293" s="46" t="str">
        <f aca="false">IF(OR(B1293="",I1293&lt;&gt;"Save for a later revision"),"",IF(COUNTIF('Deferred edits'!$K$2:$K$201,A1293)&gt;0,"Yes","● Add to Deferred edits"))</f>
        <v/>
      </c>
    </row>
    <row r="1294" customFormat="false" ht="15" hidden="false" customHeight="false" outlineLevel="0" collapsed="false">
      <c r="A1294" s="46" t="s">
        <v>1589</v>
      </c>
      <c r="B1294" s="46"/>
      <c r="C1294" s="46"/>
      <c r="D1294" s="46"/>
      <c r="E1294" s="46"/>
      <c r="F1294" s="46"/>
      <c r="G1294" s="46"/>
      <c r="H1294" s="46"/>
      <c r="I1294" s="46"/>
      <c r="J1294" s="46"/>
      <c r="K1294" s="46"/>
      <c r="L1294" s="46"/>
      <c r="M1294" s="46" t="str">
        <f aca="false">IF(OR(B1294="",I1294=""),"",IFERROR(INDEX('Comment flow'!$C$40:$C$46,MATCH(I1294,'Comment flow'!$A$40:$A$46,0)),""))</f>
        <v/>
      </c>
      <c r="N1294" s="46" t="str">
        <f aca="false">IF(B1294="","",IF(OR(I1294="",I1294="Open: needs a decision",L1294=""),"Open","Closed"))</f>
        <v/>
      </c>
      <c r="O1294" s="46"/>
      <c r="P1294" s="46" t="str">
        <f aca="false">IF(OR(B1294="",I1294&lt;&gt;"Save for a later revision"),"",IF(COUNTIF('Deferred edits'!$K$2:$K$201,A1294)&gt;0,"Yes","● Add to Deferred edits"))</f>
        <v/>
      </c>
    </row>
    <row r="1295" customFormat="false" ht="15" hidden="false" customHeight="false" outlineLevel="0" collapsed="false">
      <c r="A1295" s="46" t="s">
        <v>1590</v>
      </c>
      <c r="B1295" s="46"/>
      <c r="C1295" s="46"/>
      <c r="D1295" s="46"/>
      <c r="E1295" s="46"/>
      <c r="F1295" s="46"/>
      <c r="G1295" s="46"/>
      <c r="H1295" s="46"/>
      <c r="I1295" s="46"/>
      <c r="J1295" s="46"/>
      <c r="K1295" s="46"/>
      <c r="L1295" s="46"/>
      <c r="M1295" s="46" t="str">
        <f aca="false">IF(OR(B1295="",I1295=""),"",IFERROR(INDEX('Comment flow'!$C$40:$C$46,MATCH(I1295,'Comment flow'!$A$40:$A$46,0)),""))</f>
        <v/>
      </c>
      <c r="N1295" s="46" t="str">
        <f aca="false">IF(B1295="","",IF(OR(I1295="",I1295="Open: needs a decision",L1295=""),"Open","Closed"))</f>
        <v/>
      </c>
      <c r="O1295" s="46"/>
      <c r="P1295" s="46" t="str">
        <f aca="false">IF(OR(B1295="",I1295&lt;&gt;"Save for a later revision"),"",IF(COUNTIF('Deferred edits'!$K$2:$K$201,A1295)&gt;0,"Yes","● Add to Deferred edits"))</f>
        <v/>
      </c>
    </row>
    <row r="1296" customFormat="false" ht="15" hidden="false" customHeight="false" outlineLevel="0" collapsed="false">
      <c r="A1296" s="46" t="s">
        <v>1591</v>
      </c>
      <c r="B1296" s="46"/>
      <c r="C1296" s="46"/>
      <c r="D1296" s="46"/>
      <c r="E1296" s="46"/>
      <c r="F1296" s="46"/>
      <c r="G1296" s="46"/>
      <c r="H1296" s="46"/>
      <c r="I1296" s="46"/>
      <c r="J1296" s="46"/>
      <c r="K1296" s="46"/>
      <c r="L1296" s="46"/>
      <c r="M1296" s="46" t="str">
        <f aca="false">IF(OR(B1296="",I1296=""),"",IFERROR(INDEX('Comment flow'!$C$40:$C$46,MATCH(I1296,'Comment flow'!$A$40:$A$46,0)),""))</f>
        <v/>
      </c>
      <c r="N1296" s="46" t="str">
        <f aca="false">IF(B1296="","",IF(OR(I1296="",I1296="Open: needs a decision",L1296=""),"Open","Closed"))</f>
        <v/>
      </c>
      <c r="O1296" s="46"/>
      <c r="P1296" s="46" t="str">
        <f aca="false">IF(OR(B1296="",I1296&lt;&gt;"Save for a later revision"),"",IF(COUNTIF('Deferred edits'!$K$2:$K$201,A1296)&gt;0,"Yes","● Add to Deferred edits"))</f>
        <v/>
      </c>
    </row>
    <row r="1297" customFormat="false" ht="15" hidden="false" customHeight="false" outlineLevel="0" collapsed="false">
      <c r="A1297" s="46" t="s">
        <v>1592</v>
      </c>
      <c r="B1297" s="46"/>
      <c r="C1297" s="46"/>
      <c r="D1297" s="46"/>
      <c r="E1297" s="46"/>
      <c r="F1297" s="46"/>
      <c r="G1297" s="46"/>
      <c r="H1297" s="46"/>
      <c r="I1297" s="46"/>
      <c r="J1297" s="46"/>
      <c r="K1297" s="46"/>
      <c r="L1297" s="46"/>
      <c r="M1297" s="46" t="str">
        <f aca="false">IF(OR(B1297="",I1297=""),"",IFERROR(INDEX('Comment flow'!$C$40:$C$46,MATCH(I1297,'Comment flow'!$A$40:$A$46,0)),""))</f>
        <v/>
      </c>
      <c r="N1297" s="46" t="str">
        <f aca="false">IF(B1297="","",IF(OR(I1297="",I1297="Open: needs a decision",L1297=""),"Open","Closed"))</f>
        <v/>
      </c>
      <c r="O1297" s="46"/>
      <c r="P1297" s="46" t="str">
        <f aca="false">IF(OR(B1297="",I1297&lt;&gt;"Save for a later revision"),"",IF(COUNTIF('Deferred edits'!$K$2:$K$201,A1297)&gt;0,"Yes","● Add to Deferred edits"))</f>
        <v/>
      </c>
    </row>
    <row r="1298" customFormat="false" ht="15" hidden="false" customHeight="false" outlineLevel="0" collapsed="false">
      <c r="A1298" s="46" t="s">
        <v>1593</v>
      </c>
      <c r="B1298" s="46"/>
      <c r="C1298" s="46"/>
      <c r="D1298" s="46"/>
      <c r="E1298" s="46"/>
      <c r="F1298" s="46"/>
      <c r="G1298" s="46"/>
      <c r="H1298" s="46"/>
      <c r="I1298" s="46"/>
      <c r="J1298" s="46"/>
      <c r="K1298" s="46"/>
      <c r="L1298" s="46"/>
      <c r="M1298" s="46" t="str">
        <f aca="false">IF(OR(B1298="",I1298=""),"",IFERROR(INDEX('Comment flow'!$C$40:$C$46,MATCH(I1298,'Comment flow'!$A$40:$A$46,0)),""))</f>
        <v/>
      </c>
      <c r="N1298" s="46" t="str">
        <f aca="false">IF(B1298="","",IF(OR(I1298="",I1298="Open: needs a decision",L1298=""),"Open","Closed"))</f>
        <v/>
      </c>
      <c r="O1298" s="46"/>
      <c r="P1298" s="46" t="str">
        <f aca="false">IF(OR(B1298="",I1298&lt;&gt;"Save for a later revision"),"",IF(COUNTIF('Deferred edits'!$K$2:$K$201,A1298)&gt;0,"Yes","● Add to Deferred edits"))</f>
        <v/>
      </c>
    </row>
    <row r="1299" customFormat="false" ht="15" hidden="false" customHeight="false" outlineLevel="0" collapsed="false">
      <c r="A1299" s="46" t="s">
        <v>1594</v>
      </c>
      <c r="B1299" s="46"/>
      <c r="C1299" s="46"/>
      <c r="D1299" s="46"/>
      <c r="E1299" s="46"/>
      <c r="F1299" s="46"/>
      <c r="G1299" s="46"/>
      <c r="H1299" s="46"/>
      <c r="I1299" s="46"/>
      <c r="J1299" s="46"/>
      <c r="K1299" s="46"/>
      <c r="L1299" s="46"/>
      <c r="M1299" s="46" t="str">
        <f aca="false">IF(OR(B1299="",I1299=""),"",IFERROR(INDEX('Comment flow'!$C$40:$C$46,MATCH(I1299,'Comment flow'!$A$40:$A$46,0)),""))</f>
        <v/>
      </c>
      <c r="N1299" s="46" t="str">
        <f aca="false">IF(B1299="","",IF(OR(I1299="",I1299="Open: needs a decision",L1299=""),"Open","Closed"))</f>
        <v/>
      </c>
      <c r="O1299" s="46"/>
      <c r="P1299" s="46" t="str">
        <f aca="false">IF(OR(B1299="",I1299&lt;&gt;"Save for a later revision"),"",IF(COUNTIF('Deferred edits'!$K$2:$K$201,A1299)&gt;0,"Yes","● Add to Deferred edits"))</f>
        <v/>
      </c>
    </row>
    <row r="1300" customFormat="false" ht="15" hidden="false" customHeight="false" outlineLevel="0" collapsed="false">
      <c r="A1300" s="46" t="s">
        <v>1595</v>
      </c>
      <c r="B1300" s="46"/>
      <c r="C1300" s="46"/>
      <c r="D1300" s="46"/>
      <c r="E1300" s="46"/>
      <c r="F1300" s="46"/>
      <c r="G1300" s="46"/>
      <c r="H1300" s="46"/>
      <c r="I1300" s="46"/>
      <c r="J1300" s="46"/>
      <c r="K1300" s="46"/>
      <c r="L1300" s="46"/>
      <c r="M1300" s="46" t="str">
        <f aca="false">IF(OR(B1300="",I1300=""),"",IFERROR(INDEX('Comment flow'!$C$40:$C$46,MATCH(I1300,'Comment flow'!$A$40:$A$46,0)),""))</f>
        <v/>
      </c>
      <c r="N1300" s="46" t="str">
        <f aca="false">IF(B1300="","",IF(OR(I1300="",I1300="Open: needs a decision",L1300=""),"Open","Closed"))</f>
        <v/>
      </c>
      <c r="O1300" s="46"/>
      <c r="P1300" s="46" t="str">
        <f aca="false">IF(OR(B1300="",I1300&lt;&gt;"Save for a later revision"),"",IF(COUNTIF('Deferred edits'!$K$2:$K$201,A1300)&gt;0,"Yes","● Add to Deferred edits"))</f>
        <v/>
      </c>
    </row>
    <row r="1301" customFormat="false" ht="15" hidden="false" customHeight="false" outlineLevel="0" collapsed="false">
      <c r="A1301" s="46" t="s">
        <v>1596</v>
      </c>
      <c r="B1301" s="46"/>
      <c r="C1301" s="46"/>
      <c r="D1301" s="46"/>
      <c r="E1301" s="46"/>
      <c r="F1301" s="46"/>
      <c r="G1301" s="46"/>
      <c r="H1301" s="46"/>
      <c r="I1301" s="46"/>
      <c r="J1301" s="46"/>
      <c r="K1301" s="46"/>
      <c r="L1301" s="46"/>
      <c r="M1301" s="46" t="str">
        <f aca="false">IF(OR(B1301="",I1301=""),"",IFERROR(INDEX('Comment flow'!$C$40:$C$46,MATCH(I1301,'Comment flow'!$A$40:$A$46,0)),""))</f>
        <v/>
      </c>
      <c r="N1301" s="46" t="str">
        <f aca="false">IF(B1301="","",IF(OR(I1301="",I1301="Open: needs a decision",L1301=""),"Open","Closed"))</f>
        <v/>
      </c>
      <c r="O1301" s="46"/>
      <c r="P1301" s="46" t="str">
        <f aca="false">IF(OR(B1301="",I1301&lt;&gt;"Save for a later revision"),"",IF(COUNTIF('Deferred edits'!$K$2:$K$201,A1301)&gt;0,"Yes","● Add to Deferred edits"))</f>
        <v/>
      </c>
    </row>
    <row r="1302" customFormat="false" ht="15" hidden="false" customHeight="false" outlineLevel="0" collapsed="false">
      <c r="A1302" s="46" t="s">
        <v>1597</v>
      </c>
      <c r="B1302" s="46"/>
      <c r="C1302" s="46"/>
      <c r="D1302" s="46"/>
      <c r="E1302" s="46"/>
      <c r="F1302" s="46"/>
      <c r="G1302" s="46"/>
      <c r="H1302" s="46"/>
      <c r="I1302" s="46"/>
      <c r="J1302" s="46"/>
      <c r="K1302" s="46"/>
      <c r="L1302" s="46"/>
      <c r="M1302" s="46" t="str">
        <f aca="false">IF(OR(B1302="",I1302=""),"",IFERROR(INDEX('Comment flow'!$C$40:$C$46,MATCH(I1302,'Comment flow'!$A$40:$A$46,0)),""))</f>
        <v/>
      </c>
      <c r="N1302" s="46" t="str">
        <f aca="false">IF(B1302="","",IF(OR(I1302="",I1302="Open: needs a decision",L1302=""),"Open","Closed"))</f>
        <v/>
      </c>
      <c r="O1302" s="46"/>
      <c r="P1302" s="46" t="str">
        <f aca="false">IF(OR(B1302="",I1302&lt;&gt;"Save for a later revision"),"",IF(COUNTIF('Deferred edits'!$K$2:$K$201,A1302)&gt;0,"Yes","● Add to Deferred edits"))</f>
        <v/>
      </c>
    </row>
    <row r="1303" customFormat="false" ht="15" hidden="false" customHeight="false" outlineLevel="0" collapsed="false">
      <c r="A1303" s="46" t="s">
        <v>1598</v>
      </c>
      <c r="B1303" s="46"/>
      <c r="C1303" s="46"/>
      <c r="D1303" s="46"/>
      <c r="E1303" s="46"/>
      <c r="F1303" s="46"/>
      <c r="G1303" s="46"/>
      <c r="H1303" s="46"/>
      <c r="I1303" s="46"/>
      <c r="J1303" s="46"/>
      <c r="K1303" s="46"/>
      <c r="L1303" s="46"/>
      <c r="M1303" s="46" t="str">
        <f aca="false">IF(OR(B1303="",I1303=""),"",IFERROR(INDEX('Comment flow'!$C$40:$C$46,MATCH(I1303,'Comment flow'!$A$40:$A$46,0)),""))</f>
        <v/>
      </c>
      <c r="N1303" s="46" t="str">
        <f aca="false">IF(B1303="","",IF(OR(I1303="",I1303="Open: needs a decision",L1303=""),"Open","Closed"))</f>
        <v/>
      </c>
      <c r="O1303" s="46"/>
      <c r="P1303" s="46" t="str">
        <f aca="false">IF(OR(B1303="",I1303&lt;&gt;"Save for a later revision"),"",IF(COUNTIF('Deferred edits'!$K$2:$K$201,A1303)&gt;0,"Yes","● Add to Deferred edits"))</f>
        <v/>
      </c>
    </row>
    <row r="1304" customFormat="false" ht="15" hidden="false" customHeight="false" outlineLevel="0" collapsed="false">
      <c r="A1304" s="46" t="s">
        <v>1599</v>
      </c>
      <c r="B1304" s="46"/>
      <c r="C1304" s="46"/>
      <c r="D1304" s="46"/>
      <c r="E1304" s="46"/>
      <c r="F1304" s="46"/>
      <c r="G1304" s="46"/>
      <c r="H1304" s="46"/>
      <c r="I1304" s="46"/>
      <c r="J1304" s="46"/>
      <c r="K1304" s="46"/>
      <c r="L1304" s="46"/>
      <c r="M1304" s="46" t="str">
        <f aca="false">IF(OR(B1304="",I1304=""),"",IFERROR(INDEX('Comment flow'!$C$40:$C$46,MATCH(I1304,'Comment flow'!$A$40:$A$46,0)),""))</f>
        <v/>
      </c>
      <c r="N1304" s="46" t="str">
        <f aca="false">IF(B1304="","",IF(OR(I1304="",I1304="Open: needs a decision",L1304=""),"Open","Closed"))</f>
        <v/>
      </c>
      <c r="O1304" s="46"/>
      <c r="P1304" s="46" t="str">
        <f aca="false">IF(OR(B1304="",I1304&lt;&gt;"Save for a later revision"),"",IF(COUNTIF('Deferred edits'!$K$2:$K$201,A1304)&gt;0,"Yes","● Add to Deferred edits"))</f>
        <v/>
      </c>
    </row>
    <row r="1305" customFormat="false" ht="15" hidden="false" customHeight="false" outlineLevel="0" collapsed="false">
      <c r="A1305" s="46" t="s">
        <v>1600</v>
      </c>
      <c r="B1305" s="46"/>
      <c r="C1305" s="46"/>
      <c r="D1305" s="46"/>
      <c r="E1305" s="46"/>
      <c r="F1305" s="46"/>
      <c r="G1305" s="46"/>
      <c r="H1305" s="46"/>
      <c r="I1305" s="46"/>
      <c r="J1305" s="46"/>
      <c r="K1305" s="46"/>
      <c r="L1305" s="46"/>
      <c r="M1305" s="46" t="str">
        <f aca="false">IF(OR(B1305="",I1305=""),"",IFERROR(INDEX('Comment flow'!$C$40:$C$46,MATCH(I1305,'Comment flow'!$A$40:$A$46,0)),""))</f>
        <v/>
      </c>
      <c r="N1305" s="46" t="str">
        <f aca="false">IF(B1305="","",IF(OR(I1305="",I1305="Open: needs a decision",L1305=""),"Open","Closed"))</f>
        <v/>
      </c>
      <c r="O1305" s="46"/>
      <c r="P1305" s="46" t="str">
        <f aca="false">IF(OR(B1305="",I1305&lt;&gt;"Save for a later revision"),"",IF(COUNTIF('Deferred edits'!$K$2:$K$201,A1305)&gt;0,"Yes","● Add to Deferred edits"))</f>
        <v/>
      </c>
    </row>
    <row r="1306" customFormat="false" ht="15" hidden="false" customHeight="false" outlineLevel="0" collapsed="false">
      <c r="A1306" s="46" t="s">
        <v>1601</v>
      </c>
      <c r="B1306" s="46"/>
      <c r="C1306" s="46"/>
      <c r="D1306" s="46"/>
      <c r="E1306" s="46"/>
      <c r="F1306" s="46"/>
      <c r="G1306" s="46"/>
      <c r="H1306" s="46"/>
      <c r="I1306" s="46"/>
      <c r="J1306" s="46"/>
      <c r="K1306" s="46"/>
      <c r="L1306" s="46"/>
      <c r="M1306" s="46" t="str">
        <f aca="false">IF(OR(B1306="",I1306=""),"",IFERROR(INDEX('Comment flow'!$C$40:$C$46,MATCH(I1306,'Comment flow'!$A$40:$A$46,0)),""))</f>
        <v/>
      </c>
      <c r="N1306" s="46" t="str">
        <f aca="false">IF(B1306="","",IF(OR(I1306="",I1306="Open: needs a decision",L1306=""),"Open","Closed"))</f>
        <v/>
      </c>
      <c r="O1306" s="46"/>
      <c r="P1306" s="46" t="str">
        <f aca="false">IF(OR(B1306="",I1306&lt;&gt;"Save for a later revision"),"",IF(COUNTIF('Deferred edits'!$K$2:$K$201,A1306)&gt;0,"Yes","● Add to Deferred edits"))</f>
        <v/>
      </c>
    </row>
    <row r="1307" customFormat="false" ht="15" hidden="false" customHeight="false" outlineLevel="0" collapsed="false">
      <c r="A1307" s="46" t="s">
        <v>1602</v>
      </c>
      <c r="B1307" s="46"/>
      <c r="C1307" s="46"/>
      <c r="D1307" s="46"/>
      <c r="E1307" s="46"/>
      <c r="F1307" s="46"/>
      <c r="G1307" s="46"/>
      <c r="H1307" s="46"/>
      <c r="I1307" s="46"/>
      <c r="J1307" s="46"/>
      <c r="K1307" s="46"/>
      <c r="L1307" s="46"/>
      <c r="M1307" s="46" t="str">
        <f aca="false">IF(OR(B1307="",I1307=""),"",IFERROR(INDEX('Comment flow'!$C$40:$C$46,MATCH(I1307,'Comment flow'!$A$40:$A$46,0)),""))</f>
        <v/>
      </c>
      <c r="N1307" s="46" t="str">
        <f aca="false">IF(B1307="","",IF(OR(I1307="",I1307="Open: needs a decision",L1307=""),"Open","Closed"))</f>
        <v/>
      </c>
      <c r="O1307" s="46"/>
      <c r="P1307" s="46" t="str">
        <f aca="false">IF(OR(B1307="",I1307&lt;&gt;"Save for a later revision"),"",IF(COUNTIF('Deferred edits'!$K$2:$K$201,A1307)&gt;0,"Yes","● Add to Deferred edits"))</f>
        <v/>
      </c>
    </row>
    <row r="1308" customFormat="false" ht="15" hidden="false" customHeight="false" outlineLevel="0" collapsed="false">
      <c r="A1308" s="46" t="s">
        <v>1603</v>
      </c>
      <c r="B1308" s="46"/>
      <c r="C1308" s="46"/>
      <c r="D1308" s="46"/>
      <c r="E1308" s="46"/>
      <c r="F1308" s="46"/>
      <c r="G1308" s="46"/>
      <c r="H1308" s="46"/>
      <c r="I1308" s="46"/>
      <c r="J1308" s="46"/>
      <c r="K1308" s="46"/>
      <c r="L1308" s="46"/>
      <c r="M1308" s="46" t="str">
        <f aca="false">IF(OR(B1308="",I1308=""),"",IFERROR(INDEX('Comment flow'!$C$40:$C$46,MATCH(I1308,'Comment flow'!$A$40:$A$46,0)),""))</f>
        <v/>
      </c>
      <c r="N1308" s="46" t="str">
        <f aca="false">IF(B1308="","",IF(OR(I1308="",I1308="Open: needs a decision",L1308=""),"Open","Closed"))</f>
        <v/>
      </c>
      <c r="O1308" s="46"/>
      <c r="P1308" s="46" t="str">
        <f aca="false">IF(OR(B1308="",I1308&lt;&gt;"Save for a later revision"),"",IF(COUNTIF('Deferred edits'!$K$2:$K$201,A1308)&gt;0,"Yes","● Add to Deferred edits"))</f>
        <v/>
      </c>
    </row>
    <row r="1309" customFormat="false" ht="15" hidden="false" customHeight="false" outlineLevel="0" collapsed="false">
      <c r="A1309" s="46" t="s">
        <v>1604</v>
      </c>
      <c r="B1309" s="46"/>
      <c r="C1309" s="46"/>
      <c r="D1309" s="46"/>
      <c r="E1309" s="46"/>
      <c r="F1309" s="46"/>
      <c r="G1309" s="46"/>
      <c r="H1309" s="46"/>
      <c r="I1309" s="46"/>
      <c r="J1309" s="46"/>
      <c r="K1309" s="46"/>
      <c r="L1309" s="46"/>
      <c r="M1309" s="46" t="str">
        <f aca="false">IF(OR(B1309="",I1309=""),"",IFERROR(INDEX('Comment flow'!$C$40:$C$46,MATCH(I1309,'Comment flow'!$A$40:$A$46,0)),""))</f>
        <v/>
      </c>
      <c r="N1309" s="46" t="str">
        <f aca="false">IF(B1309="","",IF(OR(I1309="",I1309="Open: needs a decision",L1309=""),"Open","Closed"))</f>
        <v/>
      </c>
      <c r="O1309" s="46"/>
      <c r="P1309" s="46" t="str">
        <f aca="false">IF(OR(B1309="",I1309&lt;&gt;"Save for a later revision"),"",IF(COUNTIF('Deferred edits'!$K$2:$K$201,A1309)&gt;0,"Yes","● Add to Deferred edits"))</f>
        <v/>
      </c>
    </row>
    <row r="1310" customFormat="false" ht="15" hidden="false" customHeight="false" outlineLevel="0" collapsed="false">
      <c r="A1310" s="46" t="s">
        <v>1605</v>
      </c>
      <c r="B1310" s="46"/>
      <c r="C1310" s="46"/>
      <c r="D1310" s="46"/>
      <c r="E1310" s="46"/>
      <c r="F1310" s="46"/>
      <c r="G1310" s="46"/>
      <c r="H1310" s="46"/>
      <c r="I1310" s="46"/>
      <c r="J1310" s="46"/>
      <c r="K1310" s="46"/>
      <c r="L1310" s="46"/>
      <c r="M1310" s="46" t="str">
        <f aca="false">IF(OR(B1310="",I1310=""),"",IFERROR(INDEX('Comment flow'!$C$40:$C$46,MATCH(I1310,'Comment flow'!$A$40:$A$46,0)),""))</f>
        <v/>
      </c>
      <c r="N1310" s="46" t="str">
        <f aca="false">IF(B1310="","",IF(OR(I1310="",I1310="Open: needs a decision",L1310=""),"Open","Closed"))</f>
        <v/>
      </c>
      <c r="O1310" s="46"/>
      <c r="P1310" s="46" t="str">
        <f aca="false">IF(OR(B1310="",I1310&lt;&gt;"Save for a later revision"),"",IF(COUNTIF('Deferred edits'!$K$2:$K$201,A1310)&gt;0,"Yes","● Add to Deferred edits"))</f>
        <v/>
      </c>
    </row>
    <row r="1311" customFormat="false" ht="15" hidden="false" customHeight="false" outlineLevel="0" collapsed="false">
      <c r="A1311" s="46" t="s">
        <v>1606</v>
      </c>
      <c r="B1311" s="46"/>
      <c r="C1311" s="46"/>
      <c r="D1311" s="46"/>
      <c r="E1311" s="46"/>
      <c r="F1311" s="46"/>
      <c r="G1311" s="46"/>
      <c r="H1311" s="46"/>
      <c r="I1311" s="46"/>
      <c r="J1311" s="46"/>
      <c r="K1311" s="46"/>
      <c r="L1311" s="46"/>
      <c r="M1311" s="46" t="str">
        <f aca="false">IF(OR(B1311="",I1311=""),"",IFERROR(INDEX('Comment flow'!$C$40:$C$46,MATCH(I1311,'Comment flow'!$A$40:$A$46,0)),""))</f>
        <v/>
      </c>
      <c r="N1311" s="46" t="str">
        <f aca="false">IF(B1311="","",IF(OR(I1311="",I1311="Open: needs a decision",L1311=""),"Open","Closed"))</f>
        <v/>
      </c>
      <c r="O1311" s="46"/>
      <c r="P1311" s="46" t="str">
        <f aca="false">IF(OR(B1311="",I1311&lt;&gt;"Save for a later revision"),"",IF(COUNTIF('Deferred edits'!$K$2:$K$201,A1311)&gt;0,"Yes","● Add to Deferred edits"))</f>
        <v/>
      </c>
    </row>
    <row r="1312" customFormat="false" ht="15" hidden="false" customHeight="false" outlineLevel="0" collapsed="false">
      <c r="A1312" s="46" t="s">
        <v>1607</v>
      </c>
      <c r="B1312" s="46"/>
      <c r="C1312" s="46"/>
      <c r="D1312" s="46"/>
      <c r="E1312" s="46"/>
      <c r="F1312" s="46"/>
      <c r="G1312" s="46"/>
      <c r="H1312" s="46"/>
      <c r="I1312" s="46"/>
      <c r="J1312" s="46"/>
      <c r="K1312" s="46"/>
      <c r="L1312" s="46"/>
      <c r="M1312" s="46" t="str">
        <f aca="false">IF(OR(B1312="",I1312=""),"",IFERROR(INDEX('Comment flow'!$C$40:$C$46,MATCH(I1312,'Comment flow'!$A$40:$A$46,0)),""))</f>
        <v/>
      </c>
      <c r="N1312" s="46" t="str">
        <f aca="false">IF(B1312="","",IF(OR(I1312="",I1312="Open: needs a decision",L1312=""),"Open","Closed"))</f>
        <v/>
      </c>
      <c r="O1312" s="46"/>
      <c r="P1312" s="46" t="str">
        <f aca="false">IF(OR(B1312="",I1312&lt;&gt;"Save for a later revision"),"",IF(COUNTIF('Deferred edits'!$K$2:$K$201,A1312)&gt;0,"Yes","● Add to Deferred edits"))</f>
        <v/>
      </c>
    </row>
    <row r="1313" customFormat="false" ht="15" hidden="false" customHeight="false" outlineLevel="0" collapsed="false">
      <c r="A1313" s="46" t="s">
        <v>1608</v>
      </c>
      <c r="B1313" s="46"/>
      <c r="C1313" s="46"/>
      <c r="D1313" s="46"/>
      <c r="E1313" s="46"/>
      <c r="F1313" s="46"/>
      <c r="G1313" s="46"/>
      <c r="H1313" s="46"/>
      <c r="I1313" s="46"/>
      <c r="J1313" s="46"/>
      <c r="K1313" s="46"/>
      <c r="L1313" s="46"/>
      <c r="M1313" s="46" t="str">
        <f aca="false">IF(OR(B1313="",I1313=""),"",IFERROR(INDEX('Comment flow'!$C$40:$C$46,MATCH(I1313,'Comment flow'!$A$40:$A$46,0)),""))</f>
        <v/>
      </c>
      <c r="N1313" s="46" t="str">
        <f aca="false">IF(B1313="","",IF(OR(I1313="",I1313="Open: needs a decision",L1313=""),"Open","Closed"))</f>
        <v/>
      </c>
      <c r="O1313" s="46"/>
      <c r="P1313" s="46" t="str">
        <f aca="false">IF(OR(B1313="",I1313&lt;&gt;"Save for a later revision"),"",IF(COUNTIF('Deferred edits'!$K$2:$K$201,A1313)&gt;0,"Yes","● Add to Deferred edits"))</f>
        <v/>
      </c>
    </row>
    <row r="1314" customFormat="false" ht="15" hidden="false" customHeight="false" outlineLevel="0" collapsed="false">
      <c r="A1314" s="46" t="s">
        <v>1609</v>
      </c>
      <c r="B1314" s="46"/>
      <c r="C1314" s="46"/>
      <c r="D1314" s="46"/>
      <c r="E1314" s="46"/>
      <c r="F1314" s="46"/>
      <c r="G1314" s="46"/>
      <c r="H1314" s="46"/>
      <c r="I1314" s="46"/>
      <c r="J1314" s="46"/>
      <c r="K1314" s="46"/>
      <c r="L1314" s="46"/>
      <c r="M1314" s="46" t="str">
        <f aca="false">IF(OR(B1314="",I1314=""),"",IFERROR(INDEX('Comment flow'!$C$40:$C$46,MATCH(I1314,'Comment flow'!$A$40:$A$46,0)),""))</f>
        <v/>
      </c>
      <c r="N1314" s="46" t="str">
        <f aca="false">IF(B1314="","",IF(OR(I1314="",I1314="Open: needs a decision",L1314=""),"Open","Closed"))</f>
        <v/>
      </c>
      <c r="O1314" s="46"/>
      <c r="P1314" s="46" t="str">
        <f aca="false">IF(OR(B1314="",I1314&lt;&gt;"Save for a later revision"),"",IF(COUNTIF('Deferred edits'!$K$2:$K$201,A1314)&gt;0,"Yes","● Add to Deferred edits"))</f>
        <v/>
      </c>
    </row>
    <row r="1315" customFormat="false" ht="15" hidden="false" customHeight="false" outlineLevel="0" collapsed="false">
      <c r="A1315" s="46" t="s">
        <v>1610</v>
      </c>
      <c r="B1315" s="46"/>
      <c r="C1315" s="46"/>
      <c r="D1315" s="46"/>
      <c r="E1315" s="46"/>
      <c r="F1315" s="46"/>
      <c r="G1315" s="46"/>
      <c r="H1315" s="46"/>
      <c r="I1315" s="46"/>
      <c r="J1315" s="46"/>
      <c r="K1315" s="46"/>
      <c r="L1315" s="46"/>
      <c r="M1315" s="46" t="str">
        <f aca="false">IF(OR(B1315="",I1315=""),"",IFERROR(INDEX('Comment flow'!$C$40:$C$46,MATCH(I1315,'Comment flow'!$A$40:$A$46,0)),""))</f>
        <v/>
      </c>
      <c r="N1315" s="46" t="str">
        <f aca="false">IF(B1315="","",IF(OR(I1315="",I1315="Open: needs a decision",L1315=""),"Open","Closed"))</f>
        <v/>
      </c>
      <c r="O1315" s="46"/>
      <c r="P1315" s="46" t="str">
        <f aca="false">IF(OR(B1315="",I1315&lt;&gt;"Save for a later revision"),"",IF(COUNTIF('Deferred edits'!$K$2:$K$201,A1315)&gt;0,"Yes","● Add to Deferred edits"))</f>
        <v/>
      </c>
    </row>
    <row r="1316" customFormat="false" ht="15" hidden="false" customHeight="false" outlineLevel="0" collapsed="false">
      <c r="A1316" s="46" t="s">
        <v>1611</v>
      </c>
      <c r="B1316" s="46"/>
      <c r="C1316" s="46"/>
      <c r="D1316" s="46"/>
      <c r="E1316" s="46"/>
      <c r="F1316" s="46"/>
      <c r="G1316" s="46"/>
      <c r="H1316" s="46"/>
      <c r="I1316" s="46"/>
      <c r="J1316" s="46"/>
      <c r="K1316" s="46"/>
      <c r="L1316" s="46"/>
      <c r="M1316" s="46" t="str">
        <f aca="false">IF(OR(B1316="",I1316=""),"",IFERROR(INDEX('Comment flow'!$C$40:$C$46,MATCH(I1316,'Comment flow'!$A$40:$A$46,0)),""))</f>
        <v/>
      </c>
      <c r="N1316" s="46" t="str">
        <f aca="false">IF(B1316="","",IF(OR(I1316="",I1316="Open: needs a decision",L1316=""),"Open","Closed"))</f>
        <v/>
      </c>
      <c r="O1316" s="46"/>
      <c r="P1316" s="46" t="str">
        <f aca="false">IF(OR(B1316="",I1316&lt;&gt;"Save for a later revision"),"",IF(COUNTIF('Deferred edits'!$K$2:$K$201,A1316)&gt;0,"Yes","● Add to Deferred edits"))</f>
        <v/>
      </c>
    </row>
    <row r="1317" customFormat="false" ht="15" hidden="false" customHeight="false" outlineLevel="0" collapsed="false">
      <c r="A1317" s="46" t="s">
        <v>1612</v>
      </c>
      <c r="B1317" s="46"/>
      <c r="C1317" s="46"/>
      <c r="D1317" s="46"/>
      <c r="E1317" s="46"/>
      <c r="F1317" s="46"/>
      <c r="G1317" s="46"/>
      <c r="H1317" s="46"/>
      <c r="I1317" s="46"/>
      <c r="J1317" s="46"/>
      <c r="K1317" s="46"/>
      <c r="L1317" s="46"/>
      <c r="M1317" s="46" t="str">
        <f aca="false">IF(OR(B1317="",I1317=""),"",IFERROR(INDEX('Comment flow'!$C$40:$C$46,MATCH(I1317,'Comment flow'!$A$40:$A$46,0)),""))</f>
        <v/>
      </c>
      <c r="N1317" s="46" t="str">
        <f aca="false">IF(B1317="","",IF(OR(I1317="",I1317="Open: needs a decision",L1317=""),"Open","Closed"))</f>
        <v/>
      </c>
      <c r="O1317" s="46"/>
      <c r="P1317" s="46" t="str">
        <f aca="false">IF(OR(B1317="",I1317&lt;&gt;"Save for a later revision"),"",IF(COUNTIF('Deferred edits'!$K$2:$K$201,A1317)&gt;0,"Yes","● Add to Deferred edits"))</f>
        <v/>
      </c>
    </row>
    <row r="1318" customFormat="false" ht="15" hidden="false" customHeight="false" outlineLevel="0" collapsed="false">
      <c r="A1318" s="46" t="s">
        <v>1613</v>
      </c>
      <c r="B1318" s="46"/>
      <c r="C1318" s="46"/>
      <c r="D1318" s="46"/>
      <c r="E1318" s="46"/>
      <c r="F1318" s="46"/>
      <c r="G1318" s="46"/>
      <c r="H1318" s="46"/>
      <c r="I1318" s="46"/>
      <c r="J1318" s="46"/>
      <c r="K1318" s="46"/>
      <c r="L1318" s="46"/>
      <c r="M1318" s="46" t="str">
        <f aca="false">IF(OR(B1318="",I1318=""),"",IFERROR(INDEX('Comment flow'!$C$40:$C$46,MATCH(I1318,'Comment flow'!$A$40:$A$46,0)),""))</f>
        <v/>
      </c>
      <c r="N1318" s="46" t="str">
        <f aca="false">IF(B1318="","",IF(OR(I1318="",I1318="Open: needs a decision",L1318=""),"Open","Closed"))</f>
        <v/>
      </c>
      <c r="O1318" s="46"/>
      <c r="P1318" s="46" t="str">
        <f aca="false">IF(OR(B1318="",I1318&lt;&gt;"Save for a later revision"),"",IF(COUNTIF('Deferred edits'!$K$2:$K$201,A1318)&gt;0,"Yes","● Add to Deferred edits"))</f>
        <v/>
      </c>
    </row>
    <row r="1319" customFormat="false" ht="15" hidden="false" customHeight="false" outlineLevel="0" collapsed="false">
      <c r="A1319" s="46" t="s">
        <v>1614</v>
      </c>
      <c r="B1319" s="46"/>
      <c r="C1319" s="46"/>
      <c r="D1319" s="46"/>
      <c r="E1319" s="46"/>
      <c r="F1319" s="46"/>
      <c r="G1319" s="46"/>
      <c r="H1319" s="46"/>
      <c r="I1319" s="46"/>
      <c r="J1319" s="46"/>
      <c r="K1319" s="46"/>
      <c r="L1319" s="46"/>
      <c r="M1319" s="46" t="str">
        <f aca="false">IF(OR(B1319="",I1319=""),"",IFERROR(INDEX('Comment flow'!$C$40:$C$46,MATCH(I1319,'Comment flow'!$A$40:$A$46,0)),""))</f>
        <v/>
      </c>
      <c r="N1319" s="46" t="str">
        <f aca="false">IF(B1319="","",IF(OR(I1319="",I1319="Open: needs a decision",L1319=""),"Open","Closed"))</f>
        <v/>
      </c>
      <c r="O1319" s="46"/>
      <c r="P1319" s="46" t="str">
        <f aca="false">IF(OR(B1319="",I1319&lt;&gt;"Save for a later revision"),"",IF(COUNTIF('Deferred edits'!$K$2:$K$201,A1319)&gt;0,"Yes","● Add to Deferred edits"))</f>
        <v/>
      </c>
    </row>
    <row r="1320" customFormat="false" ht="15" hidden="false" customHeight="false" outlineLevel="0" collapsed="false">
      <c r="A1320" s="46" t="s">
        <v>1615</v>
      </c>
      <c r="B1320" s="46"/>
      <c r="C1320" s="46"/>
      <c r="D1320" s="46"/>
      <c r="E1320" s="46"/>
      <c r="F1320" s="46"/>
      <c r="G1320" s="46"/>
      <c r="H1320" s="46"/>
      <c r="I1320" s="46"/>
      <c r="J1320" s="46"/>
      <c r="K1320" s="46"/>
      <c r="L1320" s="46"/>
      <c r="M1320" s="46" t="str">
        <f aca="false">IF(OR(B1320="",I1320=""),"",IFERROR(INDEX('Comment flow'!$C$40:$C$46,MATCH(I1320,'Comment flow'!$A$40:$A$46,0)),""))</f>
        <v/>
      </c>
      <c r="N1320" s="46" t="str">
        <f aca="false">IF(B1320="","",IF(OR(I1320="",I1320="Open: needs a decision",L1320=""),"Open","Closed"))</f>
        <v/>
      </c>
      <c r="O1320" s="46"/>
      <c r="P1320" s="46" t="str">
        <f aca="false">IF(OR(B1320="",I1320&lt;&gt;"Save for a later revision"),"",IF(COUNTIF('Deferred edits'!$K$2:$K$201,A1320)&gt;0,"Yes","● Add to Deferred edits"))</f>
        <v/>
      </c>
    </row>
    <row r="1321" customFormat="false" ht="15" hidden="false" customHeight="false" outlineLevel="0" collapsed="false">
      <c r="A1321" s="46" t="s">
        <v>1616</v>
      </c>
      <c r="B1321" s="46"/>
      <c r="C1321" s="46"/>
      <c r="D1321" s="46"/>
      <c r="E1321" s="46"/>
      <c r="F1321" s="46"/>
      <c r="G1321" s="46"/>
      <c r="H1321" s="46"/>
      <c r="I1321" s="46"/>
      <c r="J1321" s="46"/>
      <c r="K1321" s="46"/>
      <c r="L1321" s="46"/>
      <c r="M1321" s="46" t="str">
        <f aca="false">IF(OR(B1321="",I1321=""),"",IFERROR(INDEX('Comment flow'!$C$40:$C$46,MATCH(I1321,'Comment flow'!$A$40:$A$46,0)),""))</f>
        <v/>
      </c>
      <c r="N1321" s="46" t="str">
        <f aca="false">IF(B1321="","",IF(OR(I1321="",I1321="Open: needs a decision",L1321=""),"Open","Closed"))</f>
        <v/>
      </c>
      <c r="O1321" s="46"/>
      <c r="P1321" s="46" t="str">
        <f aca="false">IF(OR(B1321="",I1321&lt;&gt;"Save for a later revision"),"",IF(COUNTIF('Deferred edits'!$K$2:$K$201,A1321)&gt;0,"Yes","● Add to Deferred edits"))</f>
        <v/>
      </c>
    </row>
    <row r="1322" customFormat="false" ht="15" hidden="false" customHeight="false" outlineLevel="0" collapsed="false">
      <c r="A1322" s="46" t="s">
        <v>1617</v>
      </c>
      <c r="B1322" s="46"/>
      <c r="C1322" s="46"/>
      <c r="D1322" s="46"/>
      <c r="E1322" s="46"/>
      <c r="F1322" s="46"/>
      <c r="G1322" s="46"/>
      <c r="H1322" s="46"/>
      <c r="I1322" s="46"/>
      <c r="J1322" s="46"/>
      <c r="K1322" s="46"/>
      <c r="L1322" s="46"/>
      <c r="M1322" s="46" t="str">
        <f aca="false">IF(OR(B1322="",I1322=""),"",IFERROR(INDEX('Comment flow'!$C$40:$C$46,MATCH(I1322,'Comment flow'!$A$40:$A$46,0)),""))</f>
        <v/>
      </c>
      <c r="N1322" s="46" t="str">
        <f aca="false">IF(B1322="","",IF(OR(I1322="",I1322="Open: needs a decision",L1322=""),"Open","Closed"))</f>
        <v/>
      </c>
      <c r="O1322" s="46"/>
      <c r="P1322" s="46" t="str">
        <f aca="false">IF(OR(B1322="",I1322&lt;&gt;"Save for a later revision"),"",IF(COUNTIF('Deferred edits'!$K$2:$K$201,A1322)&gt;0,"Yes","● Add to Deferred edits"))</f>
        <v/>
      </c>
    </row>
    <row r="1323" customFormat="false" ht="15" hidden="false" customHeight="false" outlineLevel="0" collapsed="false">
      <c r="A1323" s="46" t="s">
        <v>1618</v>
      </c>
      <c r="B1323" s="46"/>
      <c r="C1323" s="46"/>
      <c r="D1323" s="46"/>
      <c r="E1323" s="46"/>
      <c r="F1323" s="46"/>
      <c r="G1323" s="46"/>
      <c r="H1323" s="46"/>
      <c r="I1323" s="46"/>
      <c r="J1323" s="46"/>
      <c r="K1323" s="46"/>
      <c r="L1323" s="46"/>
      <c r="M1323" s="46" t="str">
        <f aca="false">IF(OR(B1323="",I1323=""),"",IFERROR(INDEX('Comment flow'!$C$40:$C$46,MATCH(I1323,'Comment flow'!$A$40:$A$46,0)),""))</f>
        <v/>
      </c>
      <c r="N1323" s="46" t="str">
        <f aca="false">IF(B1323="","",IF(OR(I1323="",I1323="Open: needs a decision",L1323=""),"Open","Closed"))</f>
        <v/>
      </c>
      <c r="O1323" s="46"/>
      <c r="P1323" s="46" t="str">
        <f aca="false">IF(OR(B1323="",I1323&lt;&gt;"Save for a later revision"),"",IF(COUNTIF('Deferred edits'!$K$2:$K$201,A1323)&gt;0,"Yes","● Add to Deferred edits"))</f>
        <v/>
      </c>
    </row>
    <row r="1324" customFormat="false" ht="15" hidden="false" customHeight="false" outlineLevel="0" collapsed="false">
      <c r="A1324" s="46" t="s">
        <v>1619</v>
      </c>
      <c r="B1324" s="46"/>
      <c r="C1324" s="46"/>
      <c r="D1324" s="46"/>
      <c r="E1324" s="46"/>
      <c r="F1324" s="46"/>
      <c r="G1324" s="46"/>
      <c r="H1324" s="46"/>
      <c r="I1324" s="46"/>
      <c r="J1324" s="46"/>
      <c r="K1324" s="46"/>
      <c r="L1324" s="46"/>
      <c r="M1324" s="46" t="str">
        <f aca="false">IF(OR(B1324="",I1324=""),"",IFERROR(INDEX('Comment flow'!$C$40:$C$46,MATCH(I1324,'Comment flow'!$A$40:$A$46,0)),""))</f>
        <v/>
      </c>
      <c r="N1324" s="46" t="str">
        <f aca="false">IF(B1324="","",IF(OR(I1324="",I1324="Open: needs a decision",L1324=""),"Open","Closed"))</f>
        <v/>
      </c>
      <c r="O1324" s="46"/>
      <c r="P1324" s="46" t="str">
        <f aca="false">IF(OR(B1324="",I1324&lt;&gt;"Save for a later revision"),"",IF(COUNTIF('Deferred edits'!$K$2:$K$201,A1324)&gt;0,"Yes","● Add to Deferred edits"))</f>
        <v/>
      </c>
    </row>
    <row r="1325" customFormat="false" ht="15" hidden="false" customHeight="false" outlineLevel="0" collapsed="false">
      <c r="A1325" s="46" t="s">
        <v>1620</v>
      </c>
      <c r="B1325" s="46"/>
      <c r="C1325" s="46"/>
      <c r="D1325" s="46"/>
      <c r="E1325" s="46"/>
      <c r="F1325" s="46"/>
      <c r="G1325" s="46"/>
      <c r="H1325" s="46"/>
      <c r="I1325" s="46"/>
      <c r="J1325" s="46"/>
      <c r="K1325" s="46"/>
      <c r="L1325" s="46"/>
      <c r="M1325" s="46" t="str">
        <f aca="false">IF(OR(B1325="",I1325=""),"",IFERROR(INDEX('Comment flow'!$C$40:$C$46,MATCH(I1325,'Comment flow'!$A$40:$A$46,0)),""))</f>
        <v/>
      </c>
      <c r="N1325" s="46" t="str">
        <f aca="false">IF(B1325="","",IF(OR(I1325="",I1325="Open: needs a decision",L1325=""),"Open","Closed"))</f>
        <v/>
      </c>
      <c r="O1325" s="46"/>
      <c r="P1325" s="46" t="str">
        <f aca="false">IF(OR(B1325="",I1325&lt;&gt;"Save for a later revision"),"",IF(COUNTIF('Deferred edits'!$K$2:$K$201,A1325)&gt;0,"Yes","● Add to Deferred edits"))</f>
        <v/>
      </c>
    </row>
    <row r="1326" customFormat="false" ht="15" hidden="false" customHeight="false" outlineLevel="0" collapsed="false">
      <c r="A1326" s="46" t="s">
        <v>1621</v>
      </c>
      <c r="B1326" s="46"/>
      <c r="C1326" s="46"/>
      <c r="D1326" s="46"/>
      <c r="E1326" s="46"/>
      <c r="F1326" s="46"/>
      <c r="G1326" s="46"/>
      <c r="H1326" s="46"/>
      <c r="I1326" s="46"/>
      <c r="J1326" s="46"/>
      <c r="K1326" s="46"/>
      <c r="L1326" s="46"/>
      <c r="M1326" s="46" t="str">
        <f aca="false">IF(OR(B1326="",I1326=""),"",IFERROR(INDEX('Comment flow'!$C$40:$C$46,MATCH(I1326,'Comment flow'!$A$40:$A$46,0)),""))</f>
        <v/>
      </c>
      <c r="N1326" s="46" t="str">
        <f aca="false">IF(B1326="","",IF(OR(I1326="",I1326="Open: needs a decision",L1326=""),"Open","Closed"))</f>
        <v/>
      </c>
      <c r="O1326" s="46"/>
      <c r="P1326" s="46" t="str">
        <f aca="false">IF(OR(B1326="",I1326&lt;&gt;"Save for a later revision"),"",IF(COUNTIF('Deferred edits'!$K$2:$K$201,A1326)&gt;0,"Yes","● Add to Deferred edits"))</f>
        <v/>
      </c>
    </row>
    <row r="1327" customFormat="false" ht="15" hidden="false" customHeight="false" outlineLevel="0" collapsed="false">
      <c r="A1327" s="46" t="s">
        <v>1622</v>
      </c>
      <c r="B1327" s="46"/>
      <c r="C1327" s="46"/>
      <c r="D1327" s="46"/>
      <c r="E1327" s="46"/>
      <c r="F1327" s="46"/>
      <c r="G1327" s="46"/>
      <c r="H1327" s="46"/>
      <c r="I1327" s="46"/>
      <c r="J1327" s="46"/>
      <c r="K1327" s="46"/>
      <c r="L1327" s="46"/>
      <c r="M1327" s="46" t="str">
        <f aca="false">IF(OR(B1327="",I1327=""),"",IFERROR(INDEX('Comment flow'!$C$40:$C$46,MATCH(I1327,'Comment flow'!$A$40:$A$46,0)),""))</f>
        <v/>
      </c>
      <c r="N1327" s="46" t="str">
        <f aca="false">IF(B1327="","",IF(OR(I1327="",I1327="Open: needs a decision",L1327=""),"Open","Closed"))</f>
        <v/>
      </c>
      <c r="O1327" s="46"/>
      <c r="P1327" s="46" t="str">
        <f aca="false">IF(OR(B1327="",I1327&lt;&gt;"Save for a later revision"),"",IF(COUNTIF('Deferred edits'!$K$2:$K$201,A1327)&gt;0,"Yes","● Add to Deferred edits"))</f>
        <v/>
      </c>
    </row>
    <row r="1328" customFormat="false" ht="15" hidden="false" customHeight="false" outlineLevel="0" collapsed="false">
      <c r="A1328" s="46" t="s">
        <v>1623</v>
      </c>
      <c r="B1328" s="46"/>
      <c r="C1328" s="46"/>
      <c r="D1328" s="46"/>
      <c r="E1328" s="46"/>
      <c r="F1328" s="46"/>
      <c r="G1328" s="46"/>
      <c r="H1328" s="46"/>
      <c r="I1328" s="46"/>
      <c r="J1328" s="46"/>
      <c r="K1328" s="46"/>
      <c r="L1328" s="46"/>
      <c r="M1328" s="46" t="str">
        <f aca="false">IF(OR(B1328="",I1328=""),"",IFERROR(INDEX('Comment flow'!$C$40:$C$46,MATCH(I1328,'Comment flow'!$A$40:$A$46,0)),""))</f>
        <v/>
      </c>
      <c r="N1328" s="46" t="str">
        <f aca="false">IF(B1328="","",IF(OR(I1328="",I1328="Open: needs a decision",L1328=""),"Open","Closed"))</f>
        <v/>
      </c>
      <c r="O1328" s="46"/>
      <c r="P1328" s="46" t="str">
        <f aca="false">IF(OR(B1328="",I1328&lt;&gt;"Save for a later revision"),"",IF(COUNTIF('Deferred edits'!$K$2:$K$201,A1328)&gt;0,"Yes","● Add to Deferred edits"))</f>
        <v/>
      </c>
    </row>
    <row r="1329" customFormat="false" ht="15" hidden="false" customHeight="false" outlineLevel="0" collapsed="false">
      <c r="A1329" s="46" t="s">
        <v>1624</v>
      </c>
      <c r="B1329" s="46"/>
      <c r="C1329" s="46"/>
      <c r="D1329" s="46"/>
      <c r="E1329" s="46"/>
      <c r="F1329" s="46"/>
      <c r="G1329" s="46"/>
      <c r="H1329" s="46"/>
      <c r="I1329" s="46"/>
      <c r="J1329" s="46"/>
      <c r="K1329" s="46"/>
      <c r="L1329" s="46"/>
      <c r="M1329" s="46" t="str">
        <f aca="false">IF(OR(B1329="",I1329=""),"",IFERROR(INDEX('Comment flow'!$C$40:$C$46,MATCH(I1329,'Comment flow'!$A$40:$A$46,0)),""))</f>
        <v/>
      </c>
      <c r="N1329" s="46" t="str">
        <f aca="false">IF(B1329="","",IF(OR(I1329="",I1329="Open: needs a decision",L1329=""),"Open","Closed"))</f>
        <v/>
      </c>
      <c r="O1329" s="46"/>
      <c r="P1329" s="46" t="str">
        <f aca="false">IF(OR(B1329="",I1329&lt;&gt;"Save for a later revision"),"",IF(COUNTIF('Deferred edits'!$K$2:$K$201,A1329)&gt;0,"Yes","● Add to Deferred edits"))</f>
        <v/>
      </c>
    </row>
    <row r="1330" customFormat="false" ht="15" hidden="false" customHeight="false" outlineLevel="0" collapsed="false">
      <c r="A1330" s="46" t="s">
        <v>1625</v>
      </c>
      <c r="B1330" s="46"/>
      <c r="C1330" s="46"/>
      <c r="D1330" s="46"/>
      <c r="E1330" s="46"/>
      <c r="F1330" s="46"/>
      <c r="G1330" s="46"/>
      <c r="H1330" s="46"/>
      <c r="I1330" s="46"/>
      <c r="J1330" s="46"/>
      <c r="K1330" s="46"/>
      <c r="L1330" s="46"/>
      <c r="M1330" s="46" t="str">
        <f aca="false">IF(OR(B1330="",I1330=""),"",IFERROR(INDEX('Comment flow'!$C$40:$C$46,MATCH(I1330,'Comment flow'!$A$40:$A$46,0)),""))</f>
        <v/>
      </c>
      <c r="N1330" s="46" t="str">
        <f aca="false">IF(B1330="","",IF(OR(I1330="",I1330="Open: needs a decision",L1330=""),"Open","Closed"))</f>
        <v/>
      </c>
      <c r="O1330" s="46"/>
      <c r="P1330" s="46" t="str">
        <f aca="false">IF(OR(B1330="",I1330&lt;&gt;"Save for a later revision"),"",IF(COUNTIF('Deferred edits'!$K$2:$K$201,A1330)&gt;0,"Yes","● Add to Deferred edits"))</f>
        <v/>
      </c>
    </row>
    <row r="1331" customFormat="false" ht="15" hidden="false" customHeight="false" outlineLevel="0" collapsed="false">
      <c r="A1331" s="46" t="s">
        <v>1626</v>
      </c>
      <c r="B1331" s="46"/>
      <c r="C1331" s="46"/>
      <c r="D1331" s="46"/>
      <c r="E1331" s="46"/>
      <c r="F1331" s="46"/>
      <c r="G1331" s="46"/>
      <c r="H1331" s="46"/>
      <c r="I1331" s="46"/>
      <c r="J1331" s="46"/>
      <c r="K1331" s="46"/>
      <c r="L1331" s="46"/>
      <c r="M1331" s="46" t="str">
        <f aca="false">IF(OR(B1331="",I1331=""),"",IFERROR(INDEX('Comment flow'!$C$40:$C$46,MATCH(I1331,'Comment flow'!$A$40:$A$46,0)),""))</f>
        <v/>
      </c>
      <c r="N1331" s="46" t="str">
        <f aca="false">IF(B1331="","",IF(OR(I1331="",I1331="Open: needs a decision",L1331=""),"Open","Closed"))</f>
        <v/>
      </c>
      <c r="O1331" s="46"/>
      <c r="P1331" s="46" t="str">
        <f aca="false">IF(OR(B1331="",I1331&lt;&gt;"Save for a later revision"),"",IF(COUNTIF('Deferred edits'!$K$2:$K$201,A1331)&gt;0,"Yes","● Add to Deferred edits"))</f>
        <v/>
      </c>
    </row>
    <row r="1332" customFormat="false" ht="15" hidden="false" customHeight="false" outlineLevel="0" collapsed="false">
      <c r="A1332" s="46" t="s">
        <v>1627</v>
      </c>
      <c r="B1332" s="46"/>
      <c r="C1332" s="46"/>
      <c r="D1332" s="46"/>
      <c r="E1332" s="46"/>
      <c r="F1332" s="46"/>
      <c r="G1332" s="46"/>
      <c r="H1332" s="46"/>
      <c r="I1332" s="46"/>
      <c r="J1332" s="46"/>
      <c r="K1332" s="46"/>
      <c r="L1332" s="46"/>
      <c r="M1332" s="46" t="str">
        <f aca="false">IF(OR(B1332="",I1332=""),"",IFERROR(INDEX('Comment flow'!$C$40:$C$46,MATCH(I1332,'Comment flow'!$A$40:$A$46,0)),""))</f>
        <v/>
      </c>
      <c r="N1332" s="46" t="str">
        <f aca="false">IF(B1332="","",IF(OR(I1332="",I1332="Open: needs a decision",L1332=""),"Open","Closed"))</f>
        <v/>
      </c>
      <c r="O1332" s="46"/>
      <c r="P1332" s="46" t="str">
        <f aca="false">IF(OR(B1332="",I1332&lt;&gt;"Save for a later revision"),"",IF(COUNTIF('Deferred edits'!$K$2:$K$201,A1332)&gt;0,"Yes","● Add to Deferred edits"))</f>
        <v/>
      </c>
    </row>
    <row r="1333" customFormat="false" ht="15" hidden="false" customHeight="false" outlineLevel="0" collapsed="false">
      <c r="A1333" s="46" t="s">
        <v>1628</v>
      </c>
      <c r="B1333" s="46"/>
      <c r="C1333" s="46"/>
      <c r="D1333" s="46"/>
      <c r="E1333" s="46"/>
      <c r="F1333" s="46"/>
      <c r="G1333" s="46"/>
      <c r="H1333" s="46"/>
      <c r="I1333" s="46"/>
      <c r="J1333" s="46"/>
      <c r="K1333" s="46"/>
      <c r="L1333" s="46"/>
      <c r="M1333" s="46" t="str">
        <f aca="false">IF(OR(B1333="",I1333=""),"",IFERROR(INDEX('Comment flow'!$C$40:$C$46,MATCH(I1333,'Comment flow'!$A$40:$A$46,0)),""))</f>
        <v/>
      </c>
      <c r="N1333" s="46" t="str">
        <f aca="false">IF(B1333="","",IF(OR(I1333="",I1333="Open: needs a decision",L1333=""),"Open","Closed"))</f>
        <v/>
      </c>
      <c r="O1333" s="46"/>
      <c r="P1333" s="46" t="str">
        <f aca="false">IF(OR(B1333="",I1333&lt;&gt;"Save for a later revision"),"",IF(COUNTIF('Deferred edits'!$K$2:$K$201,A1333)&gt;0,"Yes","● Add to Deferred edits"))</f>
        <v/>
      </c>
    </row>
    <row r="1334" customFormat="false" ht="15" hidden="false" customHeight="false" outlineLevel="0" collapsed="false">
      <c r="A1334" s="46" t="s">
        <v>1629</v>
      </c>
      <c r="B1334" s="46"/>
      <c r="C1334" s="46"/>
      <c r="D1334" s="46"/>
      <c r="E1334" s="46"/>
      <c r="F1334" s="46"/>
      <c r="G1334" s="46"/>
      <c r="H1334" s="46"/>
      <c r="I1334" s="46"/>
      <c r="J1334" s="46"/>
      <c r="K1334" s="46"/>
      <c r="L1334" s="46"/>
      <c r="M1334" s="46" t="str">
        <f aca="false">IF(OR(B1334="",I1334=""),"",IFERROR(INDEX('Comment flow'!$C$40:$C$46,MATCH(I1334,'Comment flow'!$A$40:$A$46,0)),""))</f>
        <v/>
      </c>
      <c r="N1334" s="46" t="str">
        <f aca="false">IF(B1334="","",IF(OR(I1334="",I1334="Open: needs a decision",L1334=""),"Open","Closed"))</f>
        <v/>
      </c>
      <c r="O1334" s="46"/>
      <c r="P1334" s="46" t="str">
        <f aca="false">IF(OR(B1334="",I1334&lt;&gt;"Save for a later revision"),"",IF(COUNTIF('Deferred edits'!$K$2:$K$201,A1334)&gt;0,"Yes","● Add to Deferred edits"))</f>
        <v/>
      </c>
    </row>
    <row r="1335" customFormat="false" ht="15" hidden="false" customHeight="false" outlineLevel="0" collapsed="false">
      <c r="A1335" s="46" t="s">
        <v>1630</v>
      </c>
      <c r="B1335" s="46"/>
      <c r="C1335" s="46"/>
      <c r="D1335" s="46"/>
      <c r="E1335" s="46"/>
      <c r="F1335" s="46"/>
      <c r="G1335" s="46"/>
      <c r="H1335" s="46"/>
      <c r="I1335" s="46"/>
      <c r="J1335" s="46"/>
      <c r="K1335" s="46"/>
      <c r="L1335" s="46"/>
      <c r="M1335" s="46" t="str">
        <f aca="false">IF(OR(B1335="",I1335=""),"",IFERROR(INDEX('Comment flow'!$C$40:$C$46,MATCH(I1335,'Comment flow'!$A$40:$A$46,0)),""))</f>
        <v/>
      </c>
      <c r="N1335" s="46" t="str">
        <f aca="false">IF(B1335="","",IF(OR(I1335="",I1335="Open: needs a decision",L1335=""),"Open","Closed"))</f>
        <v/>
      </c>
      <c r="O1335" s="46"/>
      <c r="P1335" s="46" t="str">
        <f aca="false">IF(OR(B1335="",I1335&lt;&gt;"Save for a later revision"),"",IF(COUNTIF('Deferred edits'!$K$2:$K$201,A1335)&gt;0,"Yes","● Add to Deferred edits"))</f>
        <v/>
      </c>
    </row>
    <row r="1336" customFormat="false" ht="15" hidden="false" customHeight="false" outlineLevel="0" collapsed="false">
      <c r="A1336" s="46" t="s">
        <v>1631</v>
      </c>
      <c r="B1336" s="46"/>
      <c r="C1336" s="46"/>
      <c r="D1336" s="46"/>
      <c r="E1336" s="46"/>
      <c r="F1336" s="46"/>
      <c r="G1336" s="46"/>
      <c r="H1336" s="46"/>
      <c r="I1336" s="46"/>
      <c r="J1336" s="46"/>
      <c r="K1336" s="46"/>
      <c r="L1336" s="46"/>
      <c r="M1336" s="46" t="str">
        <f aca="false">IF(OR(B1336="",I1336=""),"",IFERROR(INDEX('Comment flow'!$C$40:$C$46,MATCH(I1336,'Comment flow'!$A$40:$A$46,0)),""))</f>
        <v/>
      </c>
      <c r="N1336" s="46" t="str">
        <f aca="false">IF(B1336="","",IF(OR(I1336="",I1336="Open: needs a decision",L1336=""),"Open","Closed"))</f>
        <v/>
      </c>
      <c r="O1336" s="46"/>
      <c r="P1336" s="46" t="str">
        <f aca="false">IF(OR(B1336="",I1336&lt;&gt;"Save for a later revision"),"",IF(COUNTIF('Deferred edits'!$K$2:$K$201,A1336)&gt;0,"Yes","● Add to Deferred edits"))</f>
        <v/>
      </c>
    </row>
    <row r="1337" customFormat="false" ht="15" hidden="false" customHeight="false" outlineLevel="0" collapsed="false">
      <c r="A1337" s="46" t="s">
        <v>1632</v>
      </c>
      <c r="B1337" s="46"/>
      <c r="C1337" s="46"/>
      <c r="D1337" s="46"/>
      <c r="E1337" s="46"/>
      <c r="F1337" s="46"/>
      <c r="G1337" s="46"/>
      <c r="H1337" s="46"/>
      <c r="I1337" s="46"/>
      <c r="J1337" s="46"/>
      <c r="K1337" s="46"/>
      <c r="L1337" s="46"/>
      <c r="M1337" s="46" t="str">
        <f aca="false">IF(OR(B1337="",I1337=""),"",IFERROR(INDEX('Comment flow'!$C$40:$C$46,MATCH(I1337,'Comment flow'!$A$40:$A$46,0)),""))</f>
        <v/>
      </c>
      <c r="N1337" s="46" t="str">
        <f aca="false">IF(B1337="","",IF(OR(I1337="",I1337="Open: needs a decision",L1337=""),"Open","Closed"))</f>
        <v/>
      </c>
      <c r="O1337" s="46"/>
      <c r="P1337" s="46" t="str">
        <f aca="false">IF(OR(B1337="",I1337&lt;&gt;"Save for a later revision"),"",IF(COUNTIF('Deferred edits'!$K$2:$K$201,A1337)&gt;0,"Yes","● Add to Deferred edits"))</f>
        <v/>
      </c>
    </row>
    <row r="1338" customFormat="false" ht="15" hidden="false" customHeight="false" outlineLevel="0" collapsed="false">
      <c r="A1338" s="46" t="s">
        <v>1633</v>
      </c>
      <c r="B1338" s="46"/>
      <c r="C1338" s="46"/>
      <c r="D1338" s="46"/>
      <c r="E1338" s="46"/>
      <c r="F1338" s="46"/>
      <c r="G1338" s="46"/>
      <c r="H1338" s="46"/>
      <c r="I1338" s="46"/>
      <c r="J1338" s="46"/>
      <c r="K1338" s="46"/>
      <c r="L1338" s="46"/>
      <c r="M1338" s="46" t="str">
        <f aca="false">IF(OR(B1338="",I1338=""),"",IFERROR(INDEX('Comment flow'!$C$40:$C$46,MATCH(I1338,'Comment flow'!$A$40:$A$46,0)),""))</f>
        <v/>
      </c>
      <c r="N1338" s="46" t="str">
        <f aca="false">IF(B1338="","",IF(OR(I1338="",I1338="Open: needs a decision",L1338=""),"Open","Closed"))</f>
        <v/>
      </c>
      <c r="O1338" s="46"/>
      <c r="P1338" s="46" t="str">
        <f aca="false">IF(OR(B1338="",I1338&lt;&gt;"Save for a later revision"),"",IF(COUNTIF('Deferred edits'!$K$2:$K$201,A1338)&gt;0,"Yes","● Add to Deferred edits"))</f>
        <v/>
      </c>
    </row>
    <row r="1339" customFormat="false" ht="15" hidden="false" customHeight="false" outlineLevel="0" collapsed="false">
      <c r="A1339" s="46" t="s">
        <v>1634</v>
      </c>
      <c r="B1339" s="46"/>
      <c r="C1339" s="46"/>
      <c r="D1339" s="46"/>
      <c r="E1339" s="46"/>
      <c r="F1339" s="46"/>
      <c r="G1339" s="46"/>
      <c r="H1339" s="46"/>
      <c r="I1339" s="46"/>
      <c r="J1339" s="46"/>
      <c r="K1339" s="46"/>
      <c r="L1339" s="46"/>
      <c r="M1339" s="46" t="str">
        <f aca="false">IF(OR(B1339="",I1339=""),"",IFERROR(INDEX('Comment flow'!$C$40:$C$46,MATCH(I1339,'Comment flow'!$A$40:$A$46,0)),""))</f>
        <v/>
      </c>
      <c r="N1339" s="46" t="str">
        <f aca="false">IF(B1339="","",IF(OR(I1339="",I1339="Open: needs a decision",L1339=""),"Open","Closed"))</f>
        <v/>
      </c>
      <c r="O1339" s="46"/>
      <c r="P1339" s="46" t="str">
        <f aca="false">IF(OR(B1339="",I1339&lt;&gt;"Save for a later revision"),"",IF(COUNTIF('Deferred edits'!$K$2:$K$201,A1339)&gt;0,"Yes","● Add to Deferred edits"))</f>
        <v/>
      </c>
    </row>
    <row r="1340" customFormat="false" ht="15" hidden="false" customHeight="false" outlineLevel="0" collapsed="false">
      <c r="A1340" s="46" t="s">
        <v>1635</v>
      </c>
      <c r="B1340" s="46"/>
      <c r="C1340" s="46"/>
      <c r="D1340" s="46"/>
      <c r="E1340" s="46"/>
      <c r="F1340" s="46"/>
      <c r="G1340" s="46"/>
      <c r="H1340" s="46"/>
      <c r="I1340" s="46"/>
      <c r="J1340" s="46"/>
      <c r="K1340" s="46"/>
      <c r="L1340" s="46"/>
      <c r="M1340" s="46" t="str">
        <f aca="false">IF(OR(B1340="",I1340=""),"",IFERROR(INDEX('Comment flow'!$C$40:$C$46,MATCH(I1340,'Comment flow'!$A$40:$A$46,0)),""))</f>
        <v/>
      </c>
      <c r="N1340" s="46" t="str">
        <f aca="false">IF(B1340="","",IF(OR(I1340="",I1340="Open: needs a decision",L1340=""),"Open","Closed"))</f>
        <v/>
      </c>
      <c r="O1340" s="46"/>
      <c r="P1340" s="46" t="str">
        <f aca="false">IF(OR(B1340="",I1340&lt;&gt;"Save for a later revision"),"",IF(COUNTIF('Deferred edits'!$K$2:$K$201,A1340)&gt;0,"Yes","● Add to Deferred edits"))</f>
        <v/>
      </c>
    </row>
    <row r="1341" customFormat="false" ht="15" hidden="false" customHeight="false" outlineLevel="0" collapsed="false">
      <c r="A1341" s="46" t="s">
        <v>1636</v>
      </c>
      <c r="B1341" s="46"/>
      <c r="C1341" s="46"/>
      <c r="D1341" s="46"/>
      <c r="E1341" s="46"/>
      <c r="F1341" s="46"/>
      <c r="G1341" s="46"/>
      <c r="H1341" s="46"/>
      <c r="I1341" s="46"/>
      <c r="J1341" s="46"/>
      <c r="K1341" s="46"/>
      <c r="L1341" s="46"/>
      <c r="M1341" s="46" t="str">
        <f aca="false">IF(OR(B1341="",I1341=""),"",IFERROR(INDEX('Comment flow'!$C$40:$C$46,MATCH(I1341,'Comment flow'!$A$40:$A$46,0)),""))</f>
        <v/>
      </c>
      <c r="N1341" s="46" t="str">
        <f aca="false">IF(B1341="","",IF(OR(I1341="",I1341="Open: needs a decision",L1341=""),"Open","Closed"))</f>
        <v/>
      </c>
      <c r="O1341" s="46"/>
      <c r="P1341" s="46" t="str">
        <f aca="false">IF(OR(B1341="",I1341&lt;&gt;"Save for a later revision"),"",IF(COUNTIF('Deferred edits'!$K$2:$K$201,A1341)&gt;0,"Yes","● Add to Deferred edits"))</f>
        <v/>
      </c>
    </row>
    <row r="1342" customFormat="false" ht="15" hidden="false" customHeight="false" outlineLevel="0" collapsed="false">
      <c r="A1342" s="46" t="s">
        <v>1637</v>
      </c>
      <c r="B1342" s="46"/>
      <c r="C1342" s="46"/>
      <c r="D1342" s="46"/>
      <c r="E1342" s="46"/>
      <c r="F1342" s="46"/>
      <c r="G1342" s="46"/>
      <c r="H1342" s="46"/>
      <c r="I1342" s="46"/>
      <c r="J1342" s="46"/>
      <c r="K1342" s="46"/>
      <c r="L1342" s="46"/>
      <c r="M1342" s="46" t="str">
        <f aca="false">IF(OR(B1342="",I1342=""),"",IFERROR(INDEX('Comment flow'!$C$40:$C$46,MATCH(I1342,'Comment flow'!$A$40:$A$46,0)),""))</f>
        <v/>
      </c>
      <c r="N1342" s="46" t="str">
        <f aca="false">IF(B1342="","",IF(OR(I1342="",I1342="Open: needs a decision",L1342=""),"Open","Closed"))</f>
        <v/>
      </c>
      <c r="O1342" s="46"/>
      <c r="P1342" s="46" t="str">
        <f aca="false">IF(OR(B1342="",I1342&lt;&gt;"Save for a later revision"),"",IF(COUNTIF('Deferred edits'!$K$2:$K$201,A1342)&gt;0,"Yes","● Add to Deferred edits"))</f>
        <v/>
      </c>
    </row>
    <row r="1343" customFormat="false" ht="15" hidden="false" customHeight="false" outlineLevel="0" collapsed="false">
      <c r="A1343" s="46" t="s">
        <v>1638</v>
      </c>
      <c r="B1343" s="46"/>
      <c r="C1343" s="46"/>
      <c r="D1343" s="46"/>
      <c r="E1343" s="46"/>
      <c r="F1343" s="46"/>
      <c r="G1343" s="46"/>
      <c r="H1343" s="46"/>
      <c r="I1343" s="46"/>
      <c r="J1343" s="46"/>
      <c r="K1343" s="46"/>
      <c r="L1343" s="46"/>
      <c r="M1343" s="46" t="str">
        <f aca="false">IF(OR(B1343="",I1343=""),"",IFERROR(INDEX('Comment flow'!$C$40:$C$46,MATCH(I1343,'Comment flow'!$A$40:$A$46,0)),""))</f>
        <v/>
      </c>
      <c r="N1343" s="46" t="str">
        <f aca="false">IF(B1343="","",IF(OR(I1343="",I1343="Open: needs a decision",L1343=""),"Open","Closed"))</f>
        <v/>
      </c>
      <c r="O1343" s="46"/>
      <c r="P1343" s="46" t="str">
        <f aca="false">IF(OR(B1343="",I1343&lt;&gt;"Save for a later revision"),"",IF(COUNTIF('Deferred edits'!$K$2:$K$201,A1343)&gt;0,"Yes","● Add to Deferred edits"))</f>
        <v/>
      </c>
    </row>
    <row r="1344" customFormat="false" ht="15" hidden="false" customHeight="false" outlineLevel="0" collapsed="false">
      <c r="A1344" s="46" t="s">
        <v>1639</v>
      </c>
      <c r="B1344" s="46"/>
      <c r="C1344" s="46"/>
      <c r="D1344" s="46"/>
      <c r="E1344" s="46"/>
      <c r="F1344" s="46"/>
      <c r="G1344" s="46"/>
      <c r="H1344" s="46"/>
      <c r="I1344" s="46"/>
      <c r="J1344" s="46"/>
      <c r="K1344" s="46"/>
      <c r="L1344" s="46"/>
      <c r="M1344" s="46" t="str">
        <f aca="false">IF(OR(B1344="",I1344=""),"",IFERROR(INDEX('Comment flow'!$C$40:$C$46,MATCH(I1344,'Comment flow'!$A$40:$A$46,0)),""))</f>
        <v/>
      </c>
      <c r="N1344" s="46" t="str">
        <f aca="false">IF(B1344="","",IF(OR(I1344="",I1344="Open: needs a decision",L1344=""),"Open","Closed"))</f>
        <v/>
      </c>
      <c r="O1344" s="46"/>
      <c r="P1344" s="46" t="str">
        <f aca="false">IF(OR(B1344="",I1344&lt;&gt;"Save for a later revision"),"",IF(COUNTIF('Deferred edits'!$K$2:$K$201,A1344)&gt;0,"Yes","● Add to Deferred edits"))</f>
        <v/>
      </c>
    </row>
    <row r="1345" customFormat="false" ht="15" hidden="false" customHeight="false" outlineLevel="0" collapsed="false">
      <c r="A1345" s="46" t="s">
        <v>1640</v>
      </c>
      <c r="B1345" s="46"/>
      <c r="C1345" s="46"/>
      <c r="D1345" s="46"/>
      <c r="E1345" s="46"/>
      <c r="F1345" s="46"/>
      <c r="G1345" s="46"/>
      <c r="H1345" s="46"/>
      <c r="I1345" s="46"/>
      <c r="J1345" s="46"/>
      <c r="K1345" s="46"/>
      <c r="L1345" s="46"/>
      <c r="M1345" s="46" t="str">
        <f aca="false">IF(OR(B1345="",I1345=""),"",IFERROR(INDEX('Comment flow'!$C$40:$C$46,MATCH(I1345,'Comment flow'!$A$40:$A$46,0)),""))</f>
        <v/>
      </c>
      <c r="N1345" s="46" t="str">
        <f aca="false">IF(B1345="","",IF(OR(I1345="",I1345="Open: needs a decision",L1345=""),"Open","Closed"))</f>
        <v/>
      </c>
      <c r="O1345" s="46"/>
      <c r="P1345" s="46" t="str">
        <f aca="false">IF(OR(B1345="",I1345&lt;&gt;"Save for a later revision"),"",IF(COUNTIF('Deferred edits'!$K$2:$K$201,A1345)&gt;0,"Yes","● Add to Deferred edits"))</f>
        <v/>
      </c>
    </row>
    <row r="1346" customFormat="false" ht="15" hidden="false" customHeight="false" outlineLevel="0" collapsed="false">
      <c r="A1346" s="46" t="s">
        <v>1641</v>
      </c>
      <c r="B1346" s="46"/>
      <c r="C1346" s="46"/>
      <c r="D1346" s="46"/>
      <c r="E1346" s="46"/>
      <c r="F1346" s="46"/>
      <c r="G1346" s="46"/>
      <c r="H1346" s="46"/>
      <c r="I1346" s="46"/>
      <c r="J1346" s="46"/>
      <c r="K1346" s="46"/>
      <c r="L1346" s="46"/>
      <c r="M1346" s="46" t="str">
        <f aca="false">IF(OR(B1346="",I1346=""),"",IFERROR(INDEX('Comment flow'!$C$40:$C$46,MATCH(I1346,'Comment flow'!$A$40:$A$46,0)),""))</f>
        <v/>
      </c>
      <c r="N1346" s="46" t="str">
        <f aca="false">IF(B1346="","",IF(OR(I1346="",I1346="Open: needs a decision",L1346=""),"Open","Closed"))</f>
        <v/>
      </c>
      <c r="O1346" s="46"/>
      <c r="P1346" s="46" t="str">
        <f aca="false">IF(OR(B1346="",I1346&lt;&gt;"Save for a later revision"),"",IF(COUNTIF('Deferred edits'!$K$2:$K$201,A1346)&gt;0,"Yes","● Add to Deferred edits"))</f>
        <v/>
      </c>
    </row>
    <row r="1347" customFormat="false" ht="15" hidden="false" customHeight="false" outlineLevel="0" collapsed="false">
      <c r="A1347" s="46" t="s">
        <v>1642</v>
      </c>
      <c r="B1347" s="46"/>
      <c r="C1347" s="46"/>
      <c r="D1347" s="46"/>
      <c r="E1347" s="46"/>
      <c r="F1347" s="46"/>
      <c r="G1347" s="46"/>
      <c r="H1347" s="46"/>
      <c r="I1347" s="46"/>
      <c r="J1347" s="46"/>
      <c r="K1347" s="46"/>
      <c r="L1347" s="46"/>
      <c r="M1347" s="46" t="str">
        <f aca="false">IF(OR(B1347="",I1347=""),"",IFERROR(INDEX('Comment flow'!$C$40:$C$46,MATCH(I1347,'Comment flow'!$A$40:$A$46,0)),""))</f>
        <v/>
      </c>
      <c r="N1347" s="46" t="str">
        <f aca="false">IF(B1347="","",IF(OR(I1347="",I1347="Open: needs a decision",L1347=""),"Open","Closed"))</f>
        <v/>
      </c>
      <c r="O1347" s="46"/>
      <c r="P1347" s="46" t="str">
        <f aca="false">IF(OR(B1347="",I1347&lt;&gt;"Save for a later revision"),"",IF(COUNTIF('Deferred edits'!$K$2:$K$201,A1347)&gt;0,"Yes","● Add to Deferred edits"))</f>
        <v/>
      </c>
    </row>
    <row r="1348" customFormat="false" ht="15" hidden="false" customHeight="false" outlineLevel="0" collapsed="false">
      <c r="A1348" s="46" t="s">
        <v>1643</v>
      </c>
      <c r="B1348" s="46"/>
      <c r="C1348" s="46"/>
      <c r="D1348" s="46"/>
      <c r="E1348" s="46"/>
      <c r="F1348" s="46"/>
      <c r="G1348" s="46"/>
      <c r="H1348" s="46"/>
      <c r="I1348" s="46"/>
      <c r="J1348" s="46"/>
      <c r="K1348" s="46"/>
      <c r="L1348" s="46"/>
      <c r="M1348" s="46" t="str">
        <f aca="false">IF(OR(B1348="",I1348=""),"",IFERROR(INDEX('Comment flow'!$C$40:$C$46,MATCH(I1348,'Comment flow'!$A$40:$A$46,0)),""))</f>
        <v/>
      </c>
      <c r="N1348" s="46" t="str">
        <f aca="false">IF(B1348="","",IF(OR(I1348="",I1348="Open: needs a decision",L1348=""),"Open","Closed"))</f>
        <v/>
      </c>
      <c r="O1348" s="46"/>
      <c r="P1348" s="46" t="str">
        <f aca="false">IF(OR(B1348="",I1348&lt;&gt;"Save for a later revision"),"",IF(COUNTIF('Deferred edits'!$K$2:$K$201,A1348)&gt;0,"Yes","● Add to Deferred edits"))</f>
        <v/>
      </c>
    </row>
    <row r="1349" customFormat="false" ht="15" hidden="false" customHeight="false" outlineLevel="0" collapsed="false">
      <c r="A1349" s="46" t="s">
        <v>1644</v>
      </c>
      <c r="B1349" s="46"/>
      <c r="C1349" s="46"/>
      <c r="D1349" s="46"/>
      <c r="E1349" s="46"/>
      <c r="F1349" s="46"/>
      <c r="G1349" s="46"/>
      <c r="H1349" s="46"/>
      <c r="I1349" s="46"/>
      <c r="J1349" s="46"/>
      <c r="K1349" s="46"/>
      <c r="L1349" s="46"/>
      <c r="M1349" s="46" t="str">
        <f aca="false">IF(OR(B1349="",I1349=""),"",IFERROR(INDEX('Comment flow'!$C$40:$C$46,MATCH(I1349,'Comment flow'!$A$40:$A$46,0)),""))</f>
        <v/>
      </c>
      <c r="N1349" s="46" t="str">
        <f aca="false">IF(B1349="","",IF(OR(I1349="",I1349="Open: needs a decision",L1349=""),"Open","Closed"))</f>
        <v/>
      </c>
      <c r="O1349" s="46"/>
      <c r="P1349" s="46" t="str">
        <f aca="false">IF(OR(B1349="",I1349&lt;&gt;"Save for a later revision"),"",IF(COUNTIF('Deferred edits'!$K$2:$K$201,A1349)&gt;0,"Yes","● Add to Deferred edits"))</f>
        <v/>
      </c>
    </row>
    <row r="1350" customFormat="false" ht="15" hidden="false" customHeight="false" outlineLevel="0" collapsed="false">
      <c r="A1350" s="46" t="s">
        <v>1645</v>
      </c>
      <c r="B1350" s="46"/>
      <c r="C1350" s="46"/>
      <c r="D1350" s="46"/>
      <c r="E1350" s="46"/>
      <c r="F1350" s="46"/>
      <c r="G1350" s="46"/>
      <c r="H1350" s="46"/>
      <c r="I1350" s="46"/>
      <c r="J1350" s="46"/>
      <c r="K1350" s="46"/>
      <c r="L1350" s="46"/>
      <c r="M1350" s="46" t="str">
        <f aca="false">IF(OR(B1350="",I1350=""),"",IFERROR(INDEX('Comment flow'!$C$40:$C$46,MATCH(I1350,'Comment flow'!$A$40:$A$46,0)),""))</f>
        <v/>
      </c>
      <c r="N1350" s="46" t="str">
        <f aca="false">IF(B1350="","",IF(OR(I1350="",I1350="Open: needs a decision",L1350=""),"Open","Closed"))</f>
        <v/>
      </c>
      <c r="O1350" s="46"/>
      <c r="P1350" s="46" t="str">
        <f aca="false">IF(OR(B1350="",I1350&lt;&gt;"Save for a later revision"),"",IF(COUNTIF('Deferred edits'!$K$2:$K$201,A1350)&gt;0,"Yes","● Add to Deferred edits"))</f>
        <v/>
      </c>
    </row>
    <row r="1351" customFormat="false" ht="15" hidden="false" customHeight="false" outlineLevel="0" collapsed="false">
      <c r="A1351" s="46" t="s">
        <v>1646</v>
      </c>
      <c r="B1351" s="46"/>
      <c r="C1351" s="46"/>
      <c r="D1351" s="46"/>
      <c r="E1351" s="46"/>
      <c r="F1351" s="46"/>
      <c r="G1351" s="46"/>
      <c r="H1351" s="46"/>
      <c r="I1351" s="46"/>
      <c r="J1351" s="46"/>
      <c r="K1351" s="46"/>
      <c r="L1351" s="46"/>
      <c r="M1351" s="46" t="str">
        <f aca="false">IF(OR(B1351="",I1351=""),"",IFERROR(INDEX('Comment flow'!$C$40:$C$46,MATCH(I1351,'Comment flow'!$A$40:$A$46,0)),""))</f>
        <v/>
      </c>
      <c r="N1351" s="46" t="str">
        <f aca="false">IF(B1351="","",IF(OR(I1351="",I1351="Open: needs a decision",L1351=""),"Open","Closed"))</f>
        <v/>
      </c>
      <c r="O1351" s="46"/>
      <c r="P1351" s="46" t="str">
        <f aca="false">IF(OR(B1351="",I1351&lt;&gt;"Save for a later revision"),"",IF(COUNTIF('Deferred edits'!$K$2:$K$201,A1351)&gt;0,"Yes","● Add to Deferred edits"))</f>
        <v/>
      </c>
    </row>
    <row r="1352" customFormat="false" ht="15" hidden="false" customHeight="false" outlineLevel="0" collapsed="false">
      <c r="A1352" s="46" t="s">
        <v>1647</v>
      </c>
      <c r="B1352" s="46"/>
      <c r="C1352" s="46"/>
      <c r="D1352" s="46"/>
      <c r="E1352" s="46"/>
      <c r="F1352" s="46"/>
      <c r="G1352" s="46"/>
      <c r="H1352" s="46"/>
      <c r="I1352" s="46"/>
      <c r="J1352" s="46"/>
      <c r="K1352" s="46"/>
      <c r="L1352" s="46"/>
      <c r="M1352" s="46" t="str">
        <f aca="false">IF(OR(B1352="",I1352=""),"",IFERROR(INDEX('Comment flow'!$C$40:$C$46,MATCH(I1352,'Comment flow'!$A$40:$A$46,0)),""))</f>
        <v/>
      </c>
      <c r="N1352" s="46" t="str">
        <f aca="false">IF(B1352="","",IF(OR(I1352="",I1352="Open: needs a decision",L1352=""),"Open","Closed"))</f>
        <v/>
      </c>
      <c r="O1352" s="46"/>
      <c r="P1352" s="46" t="str">
        <f aca="false">IF(OR(B1352="",I1352&lt;&gt;"Save for a later revision"),"",IF(COUNTIF('Deferred edits'!$K$2:$K$201,A1352)&gt;0,"Yes","● Add to Deferred edits"))</f>
        <v/>
      </c>
    </row>
    <row r="1353" customFormat="false" ht="15" hidden="false" customHeight="false" outlineLevel="0" collapsed="false">
      <c r="A1353" s="46" t="s">
        <v>1648</v>
      </c>
      <c r="B1353" s="46"/>
      <c r="C1353" s="46"/>
      <c r="D1353" s="46"/>
      <c r="E1353" s="46"/>
      <c r="F1353" s="46"/>
      <c r="G1353" s="46"/>
      <c r="H1353" s="46"/>
      <c r="I1353" s="46"/>
      <c r="J1353" s="46"/>
      <c r="K1353" s="46"/>
      <c r="L1353" s="46"/>
      <c r="M1353" s="46" t="str">
        <f aca="false">IF(OR(B1353="",I1353=""),"",IFERROR(INDEX('Comment flow'!$C$40:$C$46,MATCH(I1353,'Comment flow'!$A$40:$A$46,0)),""))</f>
        <v/>
      </c>
      <c r="N1353" s="46" t="str">
        <f aca="false">IF(B1353="","",IF(OR(I1353="",I1353="Open: needs a decision",L1353=""),"Open","Closed"))</f>
        <v/>
      </c>
      <c r="O1353" s="46"/>
      <c r="P1353" s="46" t="str">
        <f aca="false">IF(OR(B1353="",I1353&lt;&gt;"Save for a later revision"),"",IF(COUNTIF('Deferred edits'!$K$2:$K$201,A1353)&gt;0,"Yes","● Add to Deferred edits"))</f>
        <v/>
      </c>
    </row>
    <row r="1354" customFormat="false" ht="15" hidden="false" customHeight="false" outlineLevel="0" collapsed="false">
      <c r="A1354" s="46" t="s">
        <v>1649</v>
      </c>
      <c r="B1354" s="46"/>
      <c r="C1354" s="46"/>
      <c r="D1354" s="46"/>
      <c r="E1354" s="46"/>
      <c r="F1354" s="46"/>
      <c r="G1354" s="46"/>
      <c r="H1354" s="46"/>
      <c r="I1354" s="46"/>
      <c r="J1354" s="46"/>
      <c r="K1354" s="46"/>
      <c r="L1354" s="46"/>
      <c r="M1354" s="46" t="str">
        <f aca="false">IF(OR(B1354="",I1354=""),"",IFERROR(INDEX('Comment flow'!$C$40:$C$46,MATCH(I1354,'Comment flow'!$A$40:$A$46,0)),""))</f>
        <v/>
      </c>
      <c r="N1354" s="46" t="str">
        <f aca="false">IF(B1354="","",IF(OR(I1354="",I1354="Open: needs a decision",L1354=""),"Open","Closed"))</f>
        <v/>
      </c>
      <c r="O1354" s="46"/>
      <c r="P1354" s="46" t="str">
        <f aca="false">IF(OR(B1354="",I1354&lt;&gt;"Save for a later revision"),"",IF(COUNTIF('Deferred edits'!$K$2:$K$201,A1354)&gt;0,"Yes","● Add to Deferred edits"))</f>
        <v/>
      </c>
    </row>
    <row r="1355" customFormat="false" ht="15" hidden="false" customHeight="false" outlineLevel="0" collapsed="false">
      <c r="A1355" s="46" t="s">
        <v>1650</v>
      </c>
      <c r="B1355" s="46"/>
      <c r="C1355" s="46"/>
      <c r="D1355" s="46"/>
      <c r="E1355" s="46"/>
      <c r="F1355" s="46"/>
      <c r="G1355" s="46"/>
      <c r="H1355" s="46"/>
      <c r="I1355" s="46"/>
      <c r="J1355" s="46"/>
      <c r="K1355" s="46"/>
      <c r="L1355" s="46"/>
      <c r="M1355" s="46" t="str">
        <f aca="false">IF(OR(B1355="",I1355=""),"",IFERROR(INDEX('Comment flow'!$C$40:$C$46,MATCH(I1355,'Comment flow'!$A$40:$A$46,0)),""))</f>
        <v/>
      </c>
      <c r="N1355" s="46" t="str">
        <f aca="false">IF(B1355="","",IF(OR(I1355="",I1355="Open: needs a decision",L1355=""),"Open","Closed"))</f>
        <v/>
      </c>
      <c r="O1355" s="46"/>
      <c r="P1355" s="46" t="str">
        <f aca="false">IF(OR(B1355="",I1355&lt;&gt;"Save for a later revision"),"",IF(COUNTIF('Deferred edits'!$K$2:$K$201,A1355)&gt;0,"Yes","● Add to Deferred edits"))</f>
        <v/>
      </c>
    </row>
    <row r="1356" customFormat="false" ht="15" hidden="false" customHeight="false" outlineLevel="0" collapsed="false">
      <c r="A1356" s="46" t="s">
        <v>1651</v>
      </c>
      <c r="B1356" s="46"/>
      <c r="C1356" s="46"/>
      <c r="D1356" s="46"/>
      <c r="E1356" s="46"/>
      <c r="F1356" s="46"/>
      <c r="G1356" s="46"/>
      <c r="H1356" s="46"/>
      <c r="I1356" s="46"/>
      <c r="J1356" s="46"/>
      <c r="K1356" s="46"/>
      <c r="L1356" s="46"/>
      <c r="M1356" s="46" t="str">
        <f aca="false">IF(OR(B1356="",I1356=""),"",IFERROR(INDEX('Comment flow'!$C$40:$C$46,MATCH(I1356,'Comment flow'!$A$40:$A$46,0)),""))</f>
        <v/>
      </c>
      <c r="N1356" s="46" t="str">
        <f aca="false">IF(B1356="","",IF(OR(I1356="",I1356="Open: needs a decision",L1356=""),"Open","Closed"))</f>
        <v/>
      </c>
      <c r="O1356" s="46"/>
      <c r="P1356" s="46" t="str">
        <f aca="false">IF(OR(B1356="",I1356&lt;&gt;"Save for a later revision"),"",IF(COUNTIF('Deferred edits'!$K$2:$K$201,A1356)&gt;0,"Yes","● Add to Deferred edits"))</f>
        <v/>
      </c>
    </row>
    <row r="1357" customFormat="false" ht="15" hidden="false" customHeight="false" outlineLevel="0" collapsed="false">
      <c r="A1357" s="46" t="s">
        <v>1652</v>
      </c>
      <c r="B1357" s="46"/>
      <c r="C1357" s="46"/>
      <c r="D1357" s="46"/>
      <c r="E1357" s="46"/>
      <c r="F1357" s="46"/>
      <c r="G1357" s="46"/>
      <c r="H1357" s="46"/>
      <c r="I1357" s="46"/>
      <c r="J1357" s="46"/>
      <c r="K1357" s="46"/>
      <c r="L1357" s="46"/>
      <c r="M1357" s="46" t="str">
        <f aca="false">IF(OR(B1357="",I1357=""),"",IFERROR(INDEX('Comment flow'!$C$40:$C$46,MATCH(I1357,'Comment flow'!$A$40:$A$46,0)),""))</f>
        <v/>
      </c>
      <c r="N1357" s="46" t="str">
        <f aca="false">IF(B1357="","",IF(OR(I1357="",I1357="Open: needs a decision",L1357=""),"Open","Closed"))</f>
        <v/>
      </c>
      <c r="O1357" s="46"/>
      <c r="P1357" s="46" t="str">
        <f aca="false">IF(OR(B1357="",I1357&lt;&gt;"Save for a later revision"),"",IF(COUNTIF('Deferred edits'!$K$2:$K$201,A1357)&gt;0,"Yes","● Add to Deferred edits"))</f>
        <v/>
      </c>
    </row>
    <row r="1358" customFormat="false" ht="15" hidden="false" customHeight="false" outlineLevel="0" collapsed="false">
      <c r="A1358" s="46" t="s">
        <v>1653</v>
      </c>
      <c r="B1358" s="46"/>
      <c r="C1358" s="46"/>
      <c r="D1358" s="46"/>
      <c r="E1358" s="46"/>
      <c r="F1358" s="46"/>
      <c r="G1358" s="46"/>
      <c r="H1358" s="46"/>
      <c r="I1358" s="46"/>
      <c r="J1358" s="46"/>
      <c r="K1358" s="46"/>
      <c r="L1358" s="46"/>
      <c r="M1358" s="46" t="str">
        <f aca="false">IF(OR(B1358="",I1358=""),"",IFERROR(INDEX('Comment flow'!$C$40:$C$46,MATCH(I1358,'Comment flow'!$A$40:$A$46,0)),""))</f>
        <v/>
      </c>
      <c r="N1358" s="46" t="str">
        <f aca="false">IF(B1358="","",IF(OR(I1358="",I1358="Open: needs a decision",L1358=""),"Open","Closed"))</f>
        <v/>
      </c>
      <c r="O1358" s="46"/>
      <c r="P1358" s="46" t="str">
        <f aca="false">IF(OR(B1358="",I1358&lt;&gt;"Save for a later revision"),"",IF(COUNTIF('Deferred edits'!$K$2:$K$201,A1358)&gt;0,"Yes","● Add to Deferred edits"))</f>
        <v/>
      </c>
    </row>
    <row r="1359" customFormat="false" ht="15" hidden="false" customHeight="false" outlineLevel="0" collapsed="false">
      <c r="A1359" s="46" t="s">
        <v>1654</v>
      </c>
      <c r="B1359" s="46"/>
      <c r="C1359" s="46"/>
      <c r="D1359" s="46"/>
      <c r="E1359" s="46"/>
      <c r="F1359" s="46"/>
      <c r="G1359" s="46"/>
      <c r="H1359" s="46"/>
      <c r="I1359" s="46"/>
      <c r="J1359" s="46"/>
      <c r="K1359" s="46"/>
      <c r="L1359" s="46"/>
      <c r="M1359" s="46" t="str">
        <f aca="false">IF(OR(B1359="",I1359=""),"",IFERROR(INDEX('Comment flow'!$C$40:$C$46,MATCH(I1359,'Comment flow'!$A$40:$A$46,0)),""))</f>
        <v/>
      </c>
      <c r="N1359" s="46" t="str">
        <f aca="false">IF(B1359="","",IF(OR(I1359="",I1359="Open: needs a decision",L1359=""),"Open","Closed"))</f>
        <v/>
      </c>
      <c r="O1359" s="46"/>
      <c r="P1359" s="46" t="str">
        <f aca="false">IF(OR(B1359="",I1359&lt;&gt;"Save for a later revision"),"",IF(COUNTIF('Deferred edits'!$K$2:$K$201,A1359)&gt;0,"Yes","● Add to Deferred edits"))</f>
        <v/>
      </c>
    </row>
    <row r="1360" customFormat="false" ht="15" hidden="false" customHeight="false" outlineLevel="0" collapsed="false">
      <c r="A1360" s="46" t="s">
        <v>1655</v>
      </c>
      <c r="B1360" s="46"/>
      <c r="C1360" s="46"/>
      <c r="D1360" s="46"/>
      <c r="E1360" s="46"/>
      <c r="F1360" s="46"/>
      <c r="G1360" s="46"/>
      <c r="H1360" s="46"/>
      <c r="I1360" s="46"/>
      <c r="J1360" s="46"/>
      <c r="K1360" s="46"/>
      <c r="L1360" s="46"/>
      <c r="M1360" s="46" t="str">
        <f aca="false">IF(OR(B1360="",I1360=""),"",IFERROR(INDEX('Comment flow'!$C$40:$C$46,MATCH(I1360,'Comment flow'!$A$40:$A$46,0)),""))</f>
        <v/>
      </c>
      <c r="N1360" s="46" t="str">
        <f aca="false">IF(B1360="","",IF(OR(I1360="",I1360="Open: needs a decision",L1360=""),"Open","Closed"))</f>
        <v/>
      </c>
      <c r="O1360" s="46"/>
      <c r="P1360" s="46" t="str">
        <f aca="false">IF(OR(B1360="",I1360&lt;&gt;"Save for a later revision"),"",IF(COUNTIF('Deferred edits'!$K$2:$K$201,A1360)&gt;0,"Yes","● Add to Deferred edits"))</f>
        <v/>
      </c>
    </row>
    <row r="1361" customFormat="false" ht="15" hidden="false" customHeight="false" outlineLevel="0" collapsed="false">
      <c r="A1361" s="46" t="s">
        <v>1656</v>
      </c>
      <c r="B1361" s="46"/>
      <c r="C1361" s="46"/>
      <c r="D1361" s="46"/>
      <c r="E1361" s="46"/>
      <c r="F1361" s="46"/>
      <c r="G1361" s="46"/>
      <c r="H1361" s="46"/>
      <c r="I1361" s="46"/>
      <c r="J1361" s="46"/>
      <c r="K1361" s="46"/>
      <c r="L1361" s="46"/>
      <c r="M1361" s="46" t="str">
        <f aca="false">IF(OR(B1361="",I1361=""),"",IFERROR(INDEX('Comment flow'!$C$40:$C$46,MATCH(I1361,'Comment flow'!$A$40:$A$46,0)),""))</f>
        <v/>
      </c>
      <c r="N1361" s="46" t="str">
        <f aca="false">IF(B1361="","",IF(OR(I1361="",I1361="Open: needs a decision",L1361=""),"Open","Closed"))</f>
        <v/>
      </c>
      <c r="O1361" s="46"/>
      <c r="P1361" s="46" t="str">
        <f aca="false">IF(OR(B1361="",I1361&lt;&gt;"Save for a later revision"),"",IF(COUNTIF('Deferred edits'!$K$2:$K$201,A1361)&gt;0,"Yes","● Add to Deferred edits"))</f>
        <v/>
      </c>
    </row>
    <row r="1362" customFormat="false" ht="15" hidden="false" customHeight="false" outlineLevel="0" collapsed="false">
      <c r="A1362" s="46" t="s">
        <v>1657</v>
      </c>
      <c r="B1362" s="46"/>
      <c r="C1362" s="46"/>
      <c r="D1362" s="46"/>
      <c r="E1362" s="46"/>
      <c r="F1362" s="46"/>
      <c r="G1362" s="46"/>
      <c r="H1362" s="46"/>
      <c r="I1362" s="46"/>
      <c r="J1362" s="46"/>
      <c r="K1362" s="46"/>
      <c r="L1362" s="46"/>
      <c r="M1362" s="46" t="str">
        <f aca="false">IF(OR(B1362="",I1362=""),"",IFERROR(INDEX('Comment flow'!$C$40:$C$46,MATCH(I1362,'Comment flow'!$A$40:$A$46,0)),""))</f>
        <v/>
      </c>
      <c r="N1362" s="46" t="str">
        <f aca="false">IF(B1362="","",IF(OR(I1362="",I1362="Open: needs a decision",L1362=""),"Open","Closed"))</f>
        <v/>
      </c>
      <c r="O1362" s="46"/>
      <c r="P1362" s="46" t="str">
        <f aca="false">IF(OR(B1362="",I1362&lt;&gt;"Save for a later revision"),"",IF(COUNTIF('Deferred edits'!$K$2:$K$201,A1362)&gt;0,"Yes","● Add to Deferred edits"))</f>
        <v/>
      </c>
    </row>
    <row r="1363" customFormat="false" ht="15" hidden="false" customHeight="false" outlineLevel="0" collapsed="false">
      <c r="A1363" s="46" t="s">
        <v>1658</v>
      </c>
      <c r="B1363" s="46"/>
      <c r="C1363" s="46"/>
      <c r="D1363" s="46"/>
      <c r="E1363" s="46"/>
      <c r="F1363" s="46"/>
      <c r="G1363" s="46"/>
      <c r="H1363" s="46"/>
      <c r="I1363" s="46"/>
      <c r="J1363" s="46"/>
      <c r="K1363" s="46"/>
      <c r="L1363" s="46"/>
      <c r="M1363" s="46" t="str">
        <f aca="false">IF(OR(B1363="",I1363=""),"",IFERROR(INDEX('Comment flow'!$C$40:$C$46,MATCH(I1363,'Comment flow'!$A$40:$A$46,0)),""))</f>
        <v/>
      </c>
      <c r="N1363" s="46" t="str">
        <f aca="false">IF(B1363="","",IF(OR(I1363="",I1363="Open: needs a decision",L1363=""),"Open","Closed"))</f>
        <v/>
      </c>
      <c r="O1363" s="46"/>
      <c r="P1363" s="46" t="str">
        <f aca="false">IF(OR(B1363="",I1363&lt;&gt;"Save for a later revision"),"",IF(COUNTIF('Deferred edits'!$K$2:$K$201,A1363)&gt;0,"Yes","● Add to Deferred edits"))</f>
        <v/>
      </c>
    </row>
    <row r="1364" customFormat="false" ht="15" hidden="false" customHeight="false" outlineLevel="0" collapsed="false">
      <c r="A1364" s="46" t="s">
        <v>1659</v>
      </c>
      <c r="B1364" s="46"/>
      <c r="C1364" s="46"/>
      <c r="D1364" s="46"/>
      <c r="E1364" s="46"/>
      <c r="F1364" s="46"/>
      <c r="G1364" s="46"/>
      <c r="H1364" s="46"/>
      <c r="I1364" s="46"/>
      <c r="J1364" s="46"/>
      <c r="K1364" s="46"/>
      <c r="L1364" s="46"/>
      <c r="M1364" s="46" t="str">
        <f aca="false">IF(OR(B1364="",I1364=""),"",IFERROR(INDEX('Comment flow'!$C$40:$C$46,MATCH(I1364,'Comment flow'!$A$40:$A$46,0)),""))</f>
        <v/>
      </c>
      <c r="N1364" s="46" t="str">
        <f aca="false">IF(B1364="","",IF(OR(I1364="",I1364="Open: needs a decision",L1364=""),"Open","Closed"))</f>
        <v/>
      </c>
      <c r="O1364" s="46"/>
      <c r="P1364" s="46" t="str">
        <f aca="false">IF(OR(B1364="",I1364&lt;&gt;"Save for a later revision"),"",IF(COUNTIF('Deferred edits'!$K$2:$K$201,A1364)&gt;0,"Yes","● Add to Deferred edits"))</f>
        <v/>
      </c>
    </row>
    <row r="1365" customFormat="false" ht="15" hidden="false" customHeight="false" outlineLevel="0" collapsed="false">
      <c r="A1365" s="46" t="s">
        <v>1660</v>
      </c>
      <c r="B1365" s="46"/>
      <c r="C1365" s="46"/>
      <c r="D1365" s="46"/>
      <c r="E1365" s="46"/>
      <c r="F1365" s="46"/>
      <c r="G1365" s="46"/>
      <c r="H1365" s="46"/>
      <c r="I1365" s="46"/>
      <c r="J1365" s="46"/>
      <c r="K1365" s="46"/>
      <c r="L1365" s="46"/>
      <c r="M1365" s="46" t="str">
        <f aca="false">IF(OR(B1365="",I1365=""),"",IFERROR(INDEX('Comment flow'!$C$40:$C$46,MATCH(I1365,'Comment flow'!$A$40:$A$46,0)),""))</f>
        <v/>
      </c>
      <c r="N1365" s="46" t="str">
        <f aca="false">IF(B1365="","",IF(OR(I1365="",I1365="Open: needs a decision",L1365=""),"Open","Closed"))</f>
        <v/>
      </c>
      <c r="O1365" s="46"/>
      <c r="P1365" s="46" t="str">
        <f aca="false">IF(OR(B1365="",I1365&lt;&gt;"Save for a later revision"),"",IF(COUNTIF('Deferred edits'!$K$2:$K$201,A1365)&gt;0,"Yes","● Add to Deferred edits"))</f>
        <v/>
      </c>
    </row>
    <row r="1366" customFormat="false" ht="15" hidden="false" customHeight="false" outlineLevel="0" collapsed="false">
      <c r="A1366" s="46" t="s">
        <v>1661</v>
      </c>
      <c r="B1366" s="46"/>
      <c r="C1366" s="46"/>
      <c r="D1366" s="46"/>
      <c r="E1366" s="46"/>
      <c r="F1366" s="46"/>
      <c r="G1366" s="46"/>
      <c r="H1366" s="46"/>
      <c r="I1366" s="46"/>
      <c r="J1366" s="46"/>
      <c r="K1366" s="46"/>
      <c r="L1366" s="46"/>
      <c r="M1366" s="46" t="str">
        <f aca="false">IF(OR(B1366="",I1366=""),"",IFERROR(INDEX('Comment flow'!$C$40:$C$46,MATCH(I1366,'Comment flow'!$A$40:$A$46,0)),""))</f>
        <v/>
      </c>
      <c r="N1366" s="46" t="str">
        <f aca="false">IF(B1366="","",IF(OR(I1366="",I1366="Open: needs a decision",L1366=""),"Open","Closed"))</f>
        <v/>
      </c>
      <c r="O1366" s="46"/>
      <c r="P1366" s="46" t="str">
        <f aca="false">IF(OR(B1366="",I1366&lt;&gt;"Save for a later revision"),"",IF(COUNTIF('Deferred edits'!$K$2:$K$201,A1366)&gt;0,"Yes","● Add to Deferred edits"))</f>
        <v/>
      </c>
    </row>
    <row r="1367" customFormat="false" ht="15" hidden="false" customHeight="false" outlineLevel="0" collapsed="false">
      <c r="A1367" s="46" t="s">
        <v>1662</v>
      </c>
      <c r="B1367" s="46"/>
      <c r="C1367" s="46"/>
      <c r="D1367" s="46"/>
      <c r="E1367" s="46"/>
      <c r="F1367" s="46"/>
      <c r="G1367" s="46"/>
      <c r="H1367" s="46"/>
      <c r="I1367" s="46"/>
      <c r="J1367" s="46"/>
      <c r="K1367" s="46"/>
      <c r="L1367" s="46"/>
      <c r="M1367" s="46" t="str">
        <f aca="false">IF(OR(B1367="",I1367=""),"",IFERROR(INDEX('Comment flow'!$C$40:$C$46,MATCH(I1367,'Comment flow'!$A$40:$A$46,0)),""))</f>
        <v/>
      </c>
      <c r="N1367" s="46" t="str">
        <f aca="false">IF(B1367="","",IF(OR(I1367="",I1367="Open: needs a decision",L1367=""),"Open","Closed"))</f>
        <v/>
      </c>
      <c r="O1367" s="46"/>
      <c r="P1367" s="46" t="str">
        <f aca="false">IF(OR(B1367="",I1367&lt;&gt;"Save for a later revision"),"",IF(COUNTIF('Deferred edits'!$K$2:$K$201,A1367)&gt;0,"Yes","● Add to Deferred edits"))</f>
        <v/>
      </c>
    </row>
    <row r="1368" customFormat="false" ht="15" hidden="false" customHeight="false" outlineLevel="0" collapsed="false">
      <c r="A1368" s="46" t="s">
        <v>1663</v>
      </c>
      <c r="B1368" s="46"/>
      <c r="C1368" s="46"/>
      <c r="D1368" s="46"/>
      <c r="E1368" s="46"/>
      <c r="F1368" s="46"/>
      <c r="G1368" s="46"/>
      <c r="H1368" s="46"/>
      <c r="I1368" s="46"/>
      <c r="J1368" s="46"/>
      <c r="K1368" s="46"/>
      <c r="L1368" s="46"/>
      <c r="M1368" s="46" t="str">
        <f aca="false">IF(OR(B1368="",I1368=""),"",IFERROR(INDEX('Comment flow'!$C$40:$C$46,MATCH(I1368,'Comment flow'!$A$40:$A$46,0)),""))</f>
        <v/>
      </c>
      <c r="N1368" s="46" t="str">
        <f aca="false">IF(B1368="","",IF(OR(I1368="",I1368="Open: needs a decision",L1368=""),"Open","Closed"))</f>
        <v/>
      </c>
      <c r="O1368" s="46"/>
      <c r="P1368" s="46" t="str">
        <f aca="false">IF(OR(B1368="",I1368&lt;&gt;"Save for a later revision"),"",IF(COUNTIF('Deferred edits'!$K$2:$K$201,A1368)&gt;0,"Yes","● Add to Deferred edits"))</f>
        <v/>
      </c>
    </row>
    <row r="1369" customFormat="false" ht="15" hidden="false" customHeight="false" outlineLevel="0" collapsed="false">
      <c r="A1369" s="46" t="s">
        <v>1664</v>
      </c>
      <c r="B1369" s="46"/>
      <c r="C1369" s="46"/>
      <c r="D1369" s="46"/>
      <c r="E1369" s="46"/>
      <c r="F1369" s="46"/>
      <c r="G1369" s="46"/>
      <c r="H1369" s="46"/>
      <c r="I1369" s="46"/>
      <c r="J1369" s="46"/>
      <c r="K1369" s="46"/>
      <c r="L1369" s="46"/>
      <c r="M1369" s="46" t="str">
        <f aca="false">IF(OR(B1369="",I1369=""),"",IFERROR(INDEX('Comment flow'!$C$40:$C$46,MATCH(I1369,'Comment flow'!$A$40:$A$46,0)),""))</f>
        <v/>
      </c>
      <c r="N1369" s="46" t="str">
        <f aca="false">IF(B1369="","",IF(OR(I1369="",I1369="Open: needs a decision",L1369=""),"Open","Closed"))</f>
        <v/>
      </c>
      <c r="O1369" s="46"/>
      <c r="P1369" s="46" t="str">
        <f aca="false">IF(OR(B1369="",I1369&lt;&gt;"Save for a later revision"),"",IF(COUNTIF('Deferred edits'!$K$2:$K$201,A1369)&gt;0,"Yes","● Add to Deferred edits"))</f>
        <v/>
      </c>
    </row>
    <row r="1370" customFormat="false" ht="15" hidden="false" customHeight="false" outlineLevel="0" collapsed="false">
      <c r="A1370" s="46" t="s">
        <v>1665</v>
      </c>
      <c r="B1370" s="46"/>
      <c r="C1370" s="46"/>
      <c r="D1370" s="46"/>
      <c r="E1370" s="46"/>
      <c r="F1370" s="46"/>
      <c r="G1370" s="46"/>
      <c r="H1370" s="46"/>
      <c r="I1370" s="46"/>
      <c r="J1370" s="46"/>
      <c r="K1370" s="46"/>
      <c r="L1370" s="46"/>
      <c r="M1370" s="46" t="str">
        <f aca="false">IF(OR(B1370="",I1370=""),"",IFERROR(INDEX('Comment flow'!$C$40:$C$46,MATCH(I1370,'Comment flow'!$A$40:$A$46,0)),""))</f>
        <v/>
      </c>
      <c r="N1370" s="46" t="str">
        <f aca="false">IF(B1370="","",IF(OR(I1370="",I1370="Open: needs a decision",L1370=""),"Open","Closed"))</f>
        <v/>
      </c>
      <c r="O1370" s="46"/>
      <c r="P1370" s="46" t="str">
        <f aca="false">IF(OR(B1370="",I1370&lt;&gt;"Save for a later revision"),"",IF(COUNTIF('Deferred edits'!$K$2:$K$201,A1370)&gt;0,"Yes","● Add to Deferred edits"))</f>
        <v/>
      </c>
    </row>
    <row r="1371" customFormat="false" ht="15" hidden="false" customHeight="false" outlineLevel="0" collapsed="false">
      <c r="A1371" s="46" t="s">
        <v>1666</v>
      </c>
      <c r="B1371" s="46"/>
      <c r="C1371" s="46"/>
      <c r="D1371" s="46"/>
      <c r="E1371" s="46"/>
      <c r="F1371" s="46"/>
      <c r="G1371" s="46"/>
      <c r="H1371" s="46"/>
      <c r="I1371" s="46"/>
      <c r="J1371" s="46"/>
      <c r="K1371" s="46"/>
      <c r="L1371" s="46"/>
      <c r="M1371" s="46" t="str">
        <f aca="false">IF(OR(B1371="",I1371=""),"",IFERROR(INDEX('Comment flow'!$C$40:$C$46,MATCH(I1371,'Comment flow'!$A$40:$A$46,0)),""))</f>
        <v/>
      </c>
      <c r="N1371" s="46" t="str">
        <f aca="false">IF(B1371="","",IF(OR(I1371="",I1371="Open: needs a decision",L1371=""),"Open","Closed"))</f>
        <v/>
      </c>
      <c r="O1371" s="46"/>
      <c r="P1371" s="46" t="str">
        <f aca="false">IF(OR(B1371="",I1371&lt;&gt;"Save for a later revision"),"",IF(COUNTIF('Deferred edits'!$K$2:$K$201,A1371)&gt;0,"Yes","● Add to Deferred edits"))</f>
        <v/>
      </c>
    </row>
    <row r="1372" customFormat="false" ht="15" hidden="false" customHeight="false" outlineLevel="0" collapsed="false">
      <c r="A1372" s="46" t="s">
        <v>1667</v>
      </c>
      <c r="B1372" s="46"/>
      <c r="C1372" s="46"/>
      <c r="D1372" s="46"/>
      <c r="E1372" s="46"/>
      <c r="F1372" s="46"/>
      <c r="G1372" s="46"/>
      <c r="H1372" s="46"/>
      <c r="I1372" s="46"/>
      <c r="J1372" s="46"/>
      <c r="K1372" s="46"/>
      <c r="L1372" s="46"/>
      <c r="M1372" s="46" t="str">
        <f aca="false">IF(OR(B1372="",I1372=""),"",IFERROR(INDEX('Comment flow'!$C$40:$C$46,MATCH(I1372,'Comment flow'!$A$40:$A$46,0)),""))</f>
        <v/>
      </c>
      <c r="N1372" s="46" t="str">
        <f aca="false">IF(B1372="","",IF(OR(I1372="",I1372="Open: needs a decision",L1372=""),"Open","Closed"))</f>
        <v/>
      </c>
      <c r="O1372" s="46"/>
      <c r="P1372" s="46" t="str">
        <f aca="false">IF(OR(B1372="",I1372&lt;&gt;"Save for a later revision"),"",IF(COUNTIF('Deferred edits'!$K$2:$K$201,A1372)&gt;0,"Yes","● Add to Deferred edits"))</f>
        <v/>
      </c>
    </row>
    <row r="1373" customFormat="false" ht="15" hidden="false" customHeight="false" outlineLevel="0" collapsed="false">
      <c r="A1373" s="46" t="s">
        <v>1668</v>
      </c>
      <c r="B1373" s="46"/>
      <c r="C1373" s="46"/>
      <c r="D1373" s="46"/>
      <c r="E1373" s="46"/>
      <c r="F1373" s="46"/>
      <c r="G1373" s="46"/>
      <c r="H1373" s="46"/>
      <c r="I1373" s="46"/>
      <c r="J1373" s="46"/>
      <c r="K1373" s="46"/>
      <c r="L1373" s="46"/>
      <c r="M1373" s="46" t="str">
        <f aca="false">IF(OR(B1373="",I1373=""),"",IFERROR(INDEX('Comment flow'!$C$40:$C$46,MATCH(I1373,'Comment flow'!$A$40:$A$46,0)),""))</f>
        <v/>
      </c>
      <c r="N1373" s="46" t="str">
        <f aca="false">IF(B1373="","",IF(OR(I1373="",I1373="Open: needs a decision",L1373=""),"Open","Closed"))</f>
        <v/>
      </c>
      <c r="O1373" s="46"/>
      <c r="P1373" s="46" t="str">
        <f aca="false">IF(OR(B1373="",I1373&lt;&gt;"Save for a later revision"),"",IF(COUNTIF('Deferred edits'!$K$2:$K$201,A1373)&gt;0,"Yes","● Add to Deferred edits"))</f>
        <v/>
      </c>
    </row>
    <row r="1374" customFormat="false" ht="15" hidden="false" customHeight="false" outlineLevel="0" collapsed="false">
      <c r="A1374" s="46" t="s">
        <v>1669</v>
      </c>
      <c r="B1374" s="46"/>
      <c r="C1374" s="46"/>
      <c r="D1374" s="46"/>
      <c r="E1374" s="46"/>
      <c r="F1374" s="46"/>
      <c r="G1374" s="46"/>
      <c r="H1374" s="46"/>
      <c r="I1374" s="46"/>
      <c r="J1374" s="46"/>
      <c r="K1374" s="46"/>
      <c r="L1374" s="46"/>
      <c r="M1374" s="46" t="str">
        <f aca="false">IF(OR(B1374="",I1374=""),"",IFERROR(INDEX('Comment flow'!$C$40:$C$46,MATCH(I1374,'Comment flow'!$A$40:$A$46,0)),""))</f>
        <v/>
      </c>
      <c r="N1374" s="46" t="str">
        <f aca="false">IF(B1374="","",IF(OR(I1374="",I1374="Open: needs a decision",L1374=""),"Open","Closed"))</f>
        <v/>
      </c>
      <c r="O1374" s="46"/>
      <c r="P1374" s="46" t="str">
        <f aca="false">IF(OR(B1374="",I1374&lt;&gt;"Save for a later revision"),"",IF(COUNTIF('Deferred edits'!$K$2:$K$201,A1374)&gt;0,"Yes","● Add to Deferred edits"))</f>
        <v/>
      </c>
    </row>
    <row r="1375" customFormat="false" ht="15" hidden="false" customHeight="false" outlineLevel="0" collapsed="false">
      <c r="A1375" s="46" t="s">
        <v>1670</v>
      </c>
      <c r="B1375" s="46"/>
      <c r="C1375" s="46"/>
      <c r="D1375" s="46"/>
      <c r="E1375" s="46"/>
      <c r="F1375" s="46"/>
      <c r="G1375" s="46"/>
      <c r="H1375" s="46"/>
      <c r="I1375" s="46"/>
      <c r="J1375" s="46"/>
      <c r="K1375" s="46"/>
      <c r="L1375" s="46"/>
      <c r="M1375" s="46" t="str">
        <f aca="false">IF(OR(B1375="",I1375=""),"",IFERROR(INDEX('Comment flow'!$C$40:$C$46,MATCH(I1375,'Comment flow'!$A$40:$A$46,0)),""))</f>
        <v/>
      </c>
      <c r="N1375" s="46" t="str">
        <f aca="false">IF(B1375="","",IF(OR(I1375="",I1375="Open: needs a decision",L1375=""),"Open","Closed"))</f>
        <v/>
      </c>
      <c r="O1375" s="46"/>
      <c r="P1375" s="46" t="str">
        <f aca="false">IF(OR(B1375="",I1375&lt;&gt;"Save for a later revision"),"",IF(COUNTIF('Deferred edits'!$K$2:$K$201,A1375)&gt;0,"Yes","● Add to Deferred edits"))</f>
        <v/>
      </c>
    </row>
    <row r="1376" customFormat="false" ht="15" hidden="false" customHeight="false" outlineLevel="0" collapsed="false">
      <c r="A1376" s="46" t="s">
        <v>1671</v>
      </c>
      <c r="B1376" s="46"/>
      <c r="C1376" s="46"/>
      <c r="D1376" s="46"/>
      <c r="E1376" s="46"/>
      <c r="F1376" s="46"/>
      <c r="G1376" s="46"/>
      <c r="H1376" s="46"/>
      <c r="I1376" s="46"/>
      <c r="J1376" s="46"/>
      <c r="K1376" s="46"/>
      <c r="L1376" s="46"/>
      <c r="M1376" s="46" t="str">
        <f aca="false">IF(OR(B1376="",I1376=""),"",IFERROR(INDEX('Comment flow'!$C$40:$C$46,MATCH(I1376,'Comment flow'!$A$40:$A$46,0)),""))</f>
        <v/>
      </c>
      <c r="N1376" s="46" t="str">
        <f aca="false">IF(B1376="","",IF(OR(I1376="",I1376="Open: needs a decision",L1376=""),"Open","Closed"))</f>
        <v/>
      </c>
      <c r="O1376" s="46"/>
      <c r="P1376" s="46" t="str">
        <f aca="false">IF(OR(B1376="",I1376&lt;&gt;"Save for a later revision"),"",IF(COUNTIF('Deferred edits'!$K$2:$K$201,A1376)&gt;0,"Yes","● Add to Deferred edits"))</f>
        <v/>
      </c>
    </row>
    <row r="1377" customFormat="false" ht="15" hidden="false" customHeight="false" outlineLevel="0" collapsed="false">
      <c r="A1377" s="46" t="s">
        <v>1672</v>
      </c>
      <c r="B1377" s="46"/>
      <c r="C1377" s="46"/>
      <c r="D1377" s="46"/>
      <c r="E1377" s="46"/>
      <c r="F1377" s="46"/>
      <c r="G1377" s="46"/>
      <c r="H1377" s="46"/>
      <c r="I1377" s="46"/>
      <c r="J1377" s="46"/>
      <c r="K1377" s="46"/>
      <c r="L1377" s="46"/>
      <c r="M1377" s="46" t="str">
        <f aca="false">IF(OR(B1377="",I1377=""),"",IFERROR(INDEX('Comment flow'!$C$40:$C$46,MATCH(I1377,'Comment flow'!$A$40:$A$46,0)),""))</f>
        <v/>
      </c>
      <c r="N1377" s="46" t="str">
        <f aca="false">IF(B1377="","",IF(OR(I1377="",I1377="Open: needs a decision",L1377=""),"Open","Closed"))</f>
        <v/>
      </c>
      <c r="O1377" s="46"/>
      <c r="P1377" s="46" t="str">
        <f aca="false">IF(OR(B1377="",I1377&lt;&gt;"Save for a later revision"),"",IF(COUNTIF('Deferred edits'!$K$2:$K$201,A1377)&gt;0,"Yes","● Add to Deferred edits"))</f>
        <v/>
      </c>
    </row>
    <row r="1378" customFormat="false" ht="15" hidden="false" customHeight="false" outlineLevel="0" collapsed="false">
      <c r="A1378" s="46" t="s">
        <v>1673</v>
      </c>
      <c r="B1378" s="46"/>
      <c r="C1378" s="46"/>
      <c r="D1378" s="46"/>
      <c r="E1378" s="46"/>
      <c r="F1378" s="46"/>
      <c r="G1378" s="46"/>
      <c r="H1378" s="46"/>
      <c r="I1378" s="46"/>
      <c r="J1378" s="46"/>
      <c r="K1378" s="46"/>
      <c r="L1378" s="46"/>
      <c r="M1378" s="46" t="str">
        <f aca="false">IF(OR(B1378="",I1378=""),"",IFERROR(INDEX('Comment flow'!$C$40:$C$46,MATCH(I1378,'Comment flow'!$A$40:$A$46,0)),""))</f>
        <v/>
      </c>
      <c r="N1378" s="46" t="str">
        <f aca="false">IF(B1378="","",IF(OR(I1378="",I1378="Open: needs a decision",L1378=""),"Open","Closed"))</f>
        <v/>
      </c>
      <c r="O1378" s="46"/>
      <c r="P1378" s="46" t="str">
        <f aca="false">IF(OR(B1378="",I1378&lt;&gt;"Save for a later revision"),"",IF(COUNTIF('Deferred edits'!$K$2:$K$201,A1378)&gt;0,"Yes","● Add to Deferred edits"))</f>
        <v/>
      </c>
    </row>
    <row r="1379" customFormat="false" ht="15" hidden="false" customHeight="false" outlineLevel="0" collapsed="false">
      <c r="A1379" s="46" t="s">
        <v>1674</v>
      </c>
      <c r="B1379" s="46"/>
      <c r="C1379" s="46"/>
      <c r="D1379" s="46"/>
      <c r="E1379" s="46"/>
      <c r="F1379" s="46"/>
      <c r="G1379" s="46"/>
      <c r="H1379" s="46"/>
      <c r="I1379" s="46"/>
      <c r="J1379" s="46"/>
      <c r="K1379" s="46"/>
      <c r="L1379" s="46"/>
      <c r="M1379" s="46" t="str">
        <f aca="false">IF(OR(B1379="",I1379=""),"",IFERROR(INDEX('Comment flow'!$C$40:$C$46,MATCH(I1379,'Comment flow'!$A$40:$A$46,0)),""))</f>
        <v/>
      </c>
      <c r="N1379" s="46" t="str">
        <f aca="false">IF(B1379="","",IF(OR(I1379="",I1379="Open: needs a decision",L1379=""),"Open","Closed"))</f>
        <v/>
      </c>
      <c r="O1379" s="46"/>
      <c r="P1379" s="46" t="str">
        <f aca="false">IF(OR(B1379="",I1379&lt;&gt;"Save for a later revision"),"",IF(COUNTIF('Deferred edits'!$K$2:$K$201,A1379)&gt;0,"Yes","● Add to Deferred edits"))</f>
        <v/>
      </c>
    </row>
    <row r="1380" customFormat="false" ht="15" hidden="false" customHeight="false" outlineLevel="0" collapsed="false">
      <c r="A1380" s="46" t="s">
        <v>1675</v>
      </c>
      <c r="B1380" s="46"/>
      <c r="C1380" s="46"/>
      <c r="D1380" s="46"/>
      <c r="E1380" s="46"/>
      <c r="F1380" s="46"/>
      <c r="G1380" s="46"/>
      <c r="H1380" s="46"/>
      <c r="I1380" s="46"/>
      <c r="J1380" s="46"/>
      <c r="K1380" s="46"/>
      <c r="L1380" s="46"/>
      <c r="M1380" s="46" t="str">
        <f aca="false">IF(OR(B1380="",I1380=""),"",IFERROR(INDEX('Comment flow'!$C$40:$C$46,MATCH(I1380,'Comment flow'!$A$40:$A$46,0)),""))</f>
        <v/>
      </c>
      <c r="N1380" s="46" t="str">
        <f aca="false">IF(B1380="","",IF(OR(I1380="",I1380="Open: needs a decision",L1380=""),"Open","Closed"))</f>
        <v/>
      </c>
      <c r="O1380" s="46"/>
      <c r="P1380" s="46" t="str">
        <f aca="false">IF(OR(B1380="",I1380&lt;&gt;"Save for a later revision"),"",IF(COUNTIF('Deferred edits'!$K$2:$K$201,A1380)&gt;0,"Yes","● Add to Deferred edits"))</f>
        <v/>
      </c>
    </row>
    <row r="1381" customFormat="false" ht="15" hidden="false" customHeight="false" outlineLevel="0" collapsed="false">
      <c r="A1381" s="46" t="s">
        <v>1676</v>
      </c>
      <c r="B1381" s="46"/>
      <c r="C1381" s="46"/>
      <c r="D1381" s="46"/>
      <c r="E1381" s="46"/>
      <c r="F1381" s="46"/>
      <c r="G1381" s="46"/>
      <c r="H1381" s="46"/>
      <c r="I1381" s="46"/>
      <c r="J1381" s="46"/>
      <c r="K1381" s="46"/>
      <c r="L1381" s="46"/>
      <c r="M1381" s="46" t="str">
        <f aca="false">IF(OR(B1381="",I1381=""),"",IFERROR(INDEX('Comment flow'!$C$40:$C$46,MATCH(I1381,'Comment flow'!$A$40:$A$46,0)),""))</f>
        <v/>
      </c>
      <c r="N1381" s="46" t="str">
        <f aca="false">IF(B1381="","",IF(OR(I1381="",I1381="Open: needs a decision",L1381=""),"Open","Closed"))</f>
        <v/>
      </c>
      <c r="O1381" s="46"/>
      <c r="P1381" s="46" t="str">
        <f aca="false">IF(OR(B1381="",I1381&lt;&gt;"Save for a later revision"),"",IF(COUNTIF('Deferred edits'!$K$2:$K$201,A1381)&gt;0,"Yes","● Add to Deferred edits"))</f>
        <v/>
      </c>
    </row>
    <row r="1382" customFormat="false" ht="15" hidden="false" customHeight="false" outlineLevel="0" collapsed="false">
      <c r="A1382" s="46" t="s">
        <v>1677</v>
      </c>
      <c r="B1382" s="46"/>
      <c r="C1382" s="46"/>
      <c r="D1382" s="46"/>
      <c r="E1382" s="46"/>
      <c r="F1382" s="46"/>
      <c r="G1382" s="46"/>
      <c r="H1382" s="46"/>
      <c r="I1382" s="46"/>
      <c r="J1382" s="46"/>
      <c r="K1382" s="46"/>
      <c r="L1382" s="46"/>
      <c r="M1382" s="46" t="str">
        <f aca="false">IF(OR(B1382="",I1382=""),"",IFERROR(INDEX('Comment flow'!$C$40:$C$46,MATCH(I1382,'Comment flow'!$A$40:$A$46,0)),""))</f>
        <v/>
      </c>
      <c r="N1382" s="46" t="str">
        <f aca="false">IF(B1382="","",IF(OR(I1382="",I1382="Open: needs a decision",L1382=""),"Open","Closed"))</f>
        <v/>
      </c>
      <c r="O1382" s="46"/>
      <c r="P1382" s="46" t="str">
        <f aca="false">IF(OR(B1382="",I1382&lt;&gt;"Save for a later revision"),"",IF(COUNTIF('Deferred edits'!$K$2:$K$201,A1382)&gt;0,"Yes","● Add to Deferred edits"))</f>
        <v/>
      </c>
    </row>
    <row r="1383" customFormat="false" ht="15" hidden="false" customHeight="false" outlineLevel="0" collapsed="false">
      <c r="A1383" s="46" t="s">
        <v>1678</v>
      </c>
      <c r="B1383" s="46"/>
      <c r="C1383" s="46"/>
      <c r="D1383" s="46"/>
      <c r="E1383" s="46"/>
      <c r="F1383" s="46"/>
      <c r="G1383" s="46"/>
      <c r="H1383" s="46"/>
      <c r="I1383" s="46"/>
      <c r="J1383" s="46"/>
      <c r="K1383" s="46"/>
      <c r="L1383" s="46"/>
      <c r="M1383" s="46" t="str">
        <f aca="false">IF(OR(B1383="",I1383=""),"",IFERROR(INDEX('Comment flow'!$C$40:$C$46,MATCH(I1383,'Comment flow'!$A$40:$A$46,0)),""))</f>
        <v/>
      </c>
      <c r="N1383" s="46" t="str">
        <f aca="false">IF(B1383="","",IF(OR(I1383="",I1383="Open: needs a decision",L1383=""),"Open","Closed"))</f>
        <v/>
      </c>
      <c r="O1383" s="46"/>
      <c r="P1383" s="46" t="str">
        <f aca="false">IF(OR(B1383="",I1383&lt;&gt;"Save for a later revision"),"",IF(COUNTIF('Deferred edits'!$K$2:$K$201,A1383)&gt;0,"Yes","● Add to Deferred edits"))</f>
        <v/>
      </c>
    </row>
    <row r="1384" customFormat="false" ht="15" hidden="false" customHeight="false" outlineLevel="0" collapsed="false">
      <c r="A1384" s="46" t="s">
        <v>1679</v>
      </c>
      <c r="B1384" s="46"/>
      <c r="C1384" s="46"/>
      <c r="D1384" s="46"/>
      <c r="E1384" s="46"/>
      <c r="F1384" s="46"/>
      <c r="G1384" s="46"/>
      <c r="H1384" s="46"/>
      <c r="I1384" s="46"/>
      <c r="J1384" s="46"/>
      <c r="K1384" s="46"/>
      <c r="L1384" s="46"/>
      <c r="M1384" s="46" t="str">
        <f aca="false">IF(OR(B1384="",I1384=""),"",IFERROR(INDEX('Comment flow'!$C$40:$C$46,MATCH(I1384,'Comment flow'!$A$40:$A$46,0)),""))</f>
        <v/>
      </c>
      <c r="N1384" s="46" t="str">
        <f aca="false">IF(B1384="","",IF(OR(I1384="",I1384="Open: needs a decision",L1384=""),"Open","Closed"))</f>
        <v/>
      </c>
      <c r="O1384" s="46"/>
      <c r="P1384" s="46" t="str">
        <f aca="false">IF(OR(B1384="",I1384&lt;&gt;"Save for a later revision"),"",IF(COUNTIF('Deferred edits'!$K$2:$K$201,A1384)&gt;0,"Yes","● Add to Deferred edits"))</f>
        <v/>
      </c>
    </row>
    <row r="1385" customFormat="false" ht="15" hidden="false" customHeight="false" outlineLevel="0" collapsed="false">
      <c r="A1385" s="46" t="s">
        <v>1680</v>
      </c>
      <c r="B1385" s="46"/>
      <c r="C1385" s="46"/>
      <c r="D1385" s="46"/>
      <c r="E1385" s="46"/>
      <c r="F1385" s="46"/>
      <c r="G1385" s="46"/>
      <c r="H1385" s="46"/>
      <c r="I1385" s="46"/>
      <c r="J1385" s="46"/>
      <c r="K1385" s="46"/>
      <c r="L1385" s="46"/>
      <c r="M1385" s="46" t="str">
        <f aca="false">IF(OR(B1385="",I1385=""),"",IFERROR(INDEX('Comment flow'!$C$40:$C$46,MATCH(I1385,'Comment flow'!$A$40:$A$46,0)),""))</f>
        <v/>
      </c>
      <c r="N1385" s="46" t="str">
        <f aca="false">IF(B1385="","",IF(OR(I1385="",I1385="Open: needs a decision",L1385=""),"Open","Closed"))</f>
        <v/>
      </c>
      <c r="O1385" s="46"/>
      <c r="P1385" s="46" t="str">
        <f aca="false">IF(OR(B1385="",I1385&lt;&gt;"Save for a later revision"),"",IF(COUNTIF('Deferred edits'!$K$2:$K$201,A1385)&gt;0,"Yes","● Add to Deferred edits"))</f>
        <v/>
      </c>
    </row>
    <row r="1386" customFormat="false" ht="15" hidden="false" customHeight="false" outlineLevel="0" collapsed="false">
      <c r="A1386" s="46" t="s">
        <v>1681</v>
      </c>
      <c r="B1386" s="46"/>
      <c r="C1386" s="46"/>
      <c r="D1386" s="46"/>
      <c r="E1386" s="46"/>
      <c r="F1386" s="46"/>
      <c r="G1386" s="46"/>
      <c r="H1386" s="46"/>
      <c r="I1386" s="46"/>
      <c r="J1386" s="46"/>
      <c r="K1386" s="46"/>
      <c r="L1386" s="46"/>
      <c r="M1386" s="46" t="str">
        <f aca="false">IF(OR(B1386="",I1386=""),"",IFERROR(INDEX('Comment flow'!$C$40:$C$46,MATCH(I1386,'Comment flow'!$A$40:$A$46,0)),""))</f>
        <v/>
      </c>
      <c r="N1386" s="46" t="str">
        <f aca="false">IF(B1386="","",IF(OR(I1386="",I1386="Open: needs a decision",L1386=""),"Open","Closed"))</f>
        <v/>
      </c>
      <c r="O1386" s="46"/>
      <c r="P1386" s="46" t="str">
        <f aca="false">IF(OR(B1386="",I1386&lt;&gt;"Save for a later revision"),"",IF(COUNTIF('Deferred edits'!$K$2:$K$201,A1386)&gt;0,"Yes","● Add to Deferred edits"))</f>
        <v/>
      </c>
    </row>
    <row r="1387" customFormat="false" ht="15" hidden="false" customHeight="false" outlineLevel="0" collapsed="false">
      <c r="A1387" s="46" t="s">
        <v>1682</v>
      </c>
      <c r="B1387" s="46"/>
      <c r="C1387" s="46"/>
      <c r="D1387" s="46"/>
      <c r="E1387" s="46"/>
      <c r="F1387" s="46"/>
      <c r="G1387" s="46"/>
      <c r="H1387" s="46"/>
      <c r="I1387" s="46"/>
      <c r="J1387" s="46"/>
      <c r="K1387" s="46"/>
      <c r="L1387" s="46"/>
      <c r="M1387" s="46" t="str">
        <f aca="false">IF(OR(B1387="",I1387=""),"",IFERROR(INDEX('Comment flow'!$C$40:$C$46,MATCH(I1387,'Comment flow'!$A$40:$A$46,0)),""))</f>
        <v/>
      </c>
      <c r="N1387" s="46" t="str">
        <f aca="false">IF(B1387="","",IF(OR(I1387="",I1387="Open: needs a decision",L1387=""),"Open","Closed"))</f>
        <v/>
      </c>
      <c r="O1387" s="46"/>
      <c r="P1387" s="46" t="str">
        <f aca="false">IF(OR(B1387="",I1387&lt;&gt;"Save for a later revision"),"",IF(COUNTIF('Deferred edits'!$K$2:$K$201,A1387)&gt;0,"Yes","● Add to Deferred edits"))</f>
        <v/>
      </c>
    </row>
    <row r="1388" customFormat="false" ht="15" hidden="false" customHeight="false" outlineLevel="0" collapsed="false">
      <c r="A1388" s="46" t="s">
        <v>1683</v>
      </c>
      <c r="B1388" s="46"/>
      <c r="C1388" s="46"/>
      <c r="D1388" s="46"/>
      <c r="E1388" s="46"/>
      <c r="F1388" s="46"/>
      <c r="G1388" s="46"/>
      <c r="H1388" s="46"/>
      <c r="I1388" s="46"/>
      <c r="J1388" s="46"/>
      <c r="K1388" s="46"/>
      <c r="L1388" s="46"/>
      <c r="M1388" s="46" t="str">
        <f aca="false">IF(OR(B1388="",I1388=""),"",IFERROR(INDEX('Comment flow'!$C$40:$C$46,MATCH(I1388,'Comment flow'!$A$40:$A$46,0)),""))</f>
        <v/>
      </c>
      <c r="N1388" s="46" t="str">
        <f aca="false">IF(B1388="","",IF(OR(I1388="",I1388="Open: needs a decision",L1388=""),"Open","Closed"))</f>
        <v/>
      </c>
      <c r="O1388" s="46"/>
      <c r="P1388" s="46" t="str">
        <f aca="false">IF(OR(B1388="",I1388&lt;&gt;"Save for a later revision"),"",IF(COUNTIF('Deferred edits'!$K$2:$K$201,A1388)&gt;0,"Yes","● Add to Deferred edits"))</f>
        <v/>
      </c>
    </row>
    <row r="1389" customFormat="false" ht="15" hidden="false" customHeight="false" outlineLevel="0" collapsed="false">
      <c r="A1389" s="46" t="s">
        <v>1684</v>
      </c>
      <c r="B1389" s="46"/>
      <c r="C1389" s="46"/>
      <c r="D1389" s="46"/>
      <c r="E1389" s="46"/>
      <c r="F1389" s="46"/>
      <c r="G1389" s="46"/>
      <c r="H1389" s="46"/>
      <c r="I1389" s="46"/>
      <c r="J1389" s="46"/>
      <c r="K1389" s="46"/>
      <c r="L1389" s="46"/>
      <c r="M1389" s="46" t="str">
        <f aca="false">IF(OR(B1389="",I1389=""),"",IFERROR(INDEX('Comment flow'!$C$40:$C$46,MATCH(I1389,'Comment flow'!$A$40:$A$46,0)),""))</f>
        <v/>
      </c>
      <c r="N1389" s="46" t="str">
        <f aca="false">IF(B1389="","",IF(OR(I1389="",I1389="Open: needs a decision",L1389=""),"Open","Closed"))</f>
        <v/>
      </c>
      <c r="O1389" s="46"/>
      <c r="P1389" s="46" t="str">
        <f aca="false">IF(OR(B1389="",I1389&lt;&gt;"Save for a later revision"),"",IF(COUNTIF('Deferred edits'!$K$2:$K$201,A1389)&gt;0,"Yes","● Add to Deferred edits"))</f>
        <v/>
      </c>
    </row>
    <row r="1390" customFormat="false" ht="15" hidden="false" customHeight="false" outlineLevel="0" collapsed="false">
      <c r="A1390" s="46" t="s">
        <v>1685</v>
      </c>
      <c r="B1390" s="46"/>
      <c r="C1390" s="46"/>
      <c r="D1390" s="46"/>
      <c r="E1390" s="46"/>
      <c r="F1390" s="46"/>
      <c r="G1390" s="46"/>
      <c r="H1390" s="46"/>
      <c r="I1390" s="46"/>
      <c r="J1390" s="46"/>
      <c r="K1390" s="46"/>
      <c r="L1390" s="46"/>
      <c r="M1390" s="46" t="str">
        <f aca="false">IF(OR(B1390="",I1390=""),"",IFERROR(INDEX('Comment flow'!$C$40:$C$46,MATCH(I1390,'Comment flow'!$A$40:$A$46,0)),""))</f>
        <v/>
      </c>
      <c r="N1390" s="46" t="str">
        <f aca="false">IF(B1390="","",IF(OR(I1390="",I1390="Open: needs a decision",L1390=""),"Open","Closed"))</f>
        <v/>
      </c>
      <c r="O1390" s="46"/>
      <c r="P1390" s="46" t="str">
        <f aca="false">IF(OR(B1390="",I1390&lt;&gt;"Save for a later revision"),"",IF(COUNTIF('Deferred edits'!$K$2:$K$201,A1390)&gt;0,"Yes","● Add to Deferred edits"))</f>
        <v/>
      </c>
    </row>
    <row r="1391" customFormat="false" ht="15" hidden="false" customHeight="false" outlineLevel="0" collapsed="false">
      <c r="A1391" s="46" t="s">
        <v>1686</v>
      </c>
      <c r="B1391" s="46"/>
      <c r="C1391" s="46"/>
      <c r="D1391" s="46"/>
      <c r="E1391" s="46"/>
      <c r="F1391" s="46"/>
      <c r="G1391" s="46"/>
      <c r="H1391" s="46"/>
      <c r="I1391" s="46"/>
      <c r="J1391" s="46"/>
      <c r="K1391" s="46"/>
      <c r="L1391" s="46"/>
      <c r="M1391" s="46" t="str">
        <f aca="false">IF(OR(B1391="",I1391=""),"",IFERROR(INDEX('Comment flow'!$C$40:$C$46,MATCH(I1391,'Comment flow'!$A$40:$A$46,0)),""))</f>
        <v/>
      </c>
      <c r="N1391" s="46" t="str">
        <f aca="false">IF(B1391="","",IF(OR(I1391="",I1391="Open: needs a decision",L1391=""),"Open","Closed"))</f>
        <v/>
      </c>
      <c r="O1391" s="46"/>
      <c r="P1391" s="46" t="str">
        <f aca="false">IF(OR(B1391="",I1391&lt;&gt;"Save for a later revision"),"",IF(COUNTIF('Deferred edits'!$K$2:$K$201,A1391)&gt;0,"Yes","● Add to Deferred edits"))</f>
        <v/>
      </c>
    </row>
    <row r="1392" customFormat="false" ht="15" hidden="false" customHeight="false" outlineLevel="0" collapsed="false">
      <c r="A1392" s="46" t="s">
        <v>1687</v>
      </c>
      <c r="B1392" s="46"/>
      <c r="C1392" s="46"/>
      <c r="D1392" s="46"/>
      <c r="E1392" s="46"/>
      <c r="F1392" s="46"/>
      <c r="G1392" s="46"/>
      <c r="H1392" s="46"/>
      <c r="I1392" s="46"/>
      <c r="J1392" s="46"/>
      <c r="K1392" s="46"/>
      <c r="L1392" s="46"/>
      <c r="M1392" s="46" t="str">
        <f aca="false">IF(OR(B1392="",I1392=""),"",IFERROR(INDEX('Comment flow'!$C$40:$C$46,MATCH(I1392,'Comment flow'!$A$40:$A$46,0)),""))</f>
        <v/>
      </c>
      <c r="N1392" s="46" t="str">
        <f aca="false">IF(B1392="","",IF(OR(I1392="",I1392="Open: needs a decision",L1392=""),"Open","Closed"))</f>
        <v/>
      </c>
      <c r="O1392" s="46"/>
      <c r="P1392" s="46" t="str">
        <f aca="false">IF(OR(B1392="",I1392&lt;&gt;"Save for a later revision"),"",IF(COUNTIF('Deferred edits'!$K$2:$K$201,A1392)&gt;0,"Yes","● Add to Deferred edits"))</f>
        <v/>
      </c>
    </row>
    <row r="1393" customFormat="false" ht="15" hidden="false" customHeight="false" outlineLevel="0" collapsed="false">
      <c r="A1393" s="46" t="s">
        <v>1688</v>
      </c>
      <c r="B1393" s="46"/>
      <c r="C1393" s="46"/>
      <c r="D1393" s="46"/>
      <c r="E1393" s="46"/>
      <c r="F1393" s="46"/>
      <c r="G1393" s="46"/>
      <c r="H1393" s="46"/>
      <c r="I1393" s="46"/>
      <c r="J1393" s="46"/>
      <c r="K1393" s="46"/>
      <c r="L1393" s="46"/>
      <c r="M1393" s="46" t="str">
        <f aca="false">IF(OR(B1393="",I1393=""),"",IFERROR(INDEX('Comment flow'!$C$40:$C$46,MATCH(I1393,'Comment flow'!$A$40:$A$46,0)),""))</f>
        <v/>
      </c>
      <c r="N1393" s="46" t="str">
        <f aca="false">IF(B1393="","",IF(OR(I1393="",I1393="Open: needs a decision",L1393=""),"Open","Closed"))</f>
        <v/>
      </c>
      <c r="O1393" s="46"/>
      <c r="P1393" s="46" t="str">
        <f aca="false">IF(OR(B1393="",I1393&lt;&gt;"Save for a later revision"),"",IF(COUNTIF('Deferred edits'!$K$2:$K$201,A1393)&gt;0,"Yes","● Add to Deferred edits"))</f>
        <v/>
      </c>
    </row>
    <row r="1394" customFormat="false" ht="15" hidden="false" customHeight="false" outlineLevel="0" collapsed="false">
      <c r="A1394" s="46" t="s">
        <v>1689</v>
      </c>
      <c r="B1394" s="46"/>
      <c r="C1394" s="46"/>
      <c r="D1394" s="46"/>
      <c r="E1394" s="46"/>
      <c r="F1394" s="46"/>
      <c r="G1394" s="46"/>
      <c r="H1394" s="46"/>
      <c r="I1394" s="46"/>
      <c r="J1394" s="46"/>
      <c r="K1394" s="46"/>
      <c r="L1394" s="46"/>
      <c r="M1394" s="46" t="str">
        <f aca="false">IF(OR(B1394="",I1394=""),"",IFERROR(INDEX('Comment flow'!$C$40:$C$46,MATCH(I1394,'Comment flow'!$A$40:$A$46,0)),""))</f>
        <v/>
      </c>
      <c r="N1394" s="46" t="str">
        <f aca="false">IF(B1394="","",IF(OR(I1394="",I1394="Open: needs a decision",L1394=""),"Open","Closed"))</f>
        <v/>
      </c>
      <c r="O1394" s="46"/>
      <c r="P1394" s="46" t="str">
        <f aca="false">IF(OR(B1394="",I1394&lt;&gt;"Save for a later revision"),"",IF(COUNTIF('Deferred edits'!$K$2:$K$201,A1394)&gt;0,"Yes","● Add to Deferred edits"))</f>
        <v/>
      </c>
    </row>
    <row r="1395" customFormat="false" ht="15" hidden="false" customHeight="false" outlineLevel="0" collapsed="false">
      <c r="A1395" s="46" t="s">
        <v>1690</v>
      </c>
      <c r="B1395" s="46"/>
      <c r="C1395" s="46"/>
      <c r="D1395" s="46"/>
      <c r="E1395" s="46"/>
      <c r="F1395" s="46"/>
      <c r="G1395" s="46"/>
      <c r="H1395" s="46"/>
      <c r="I1395" s="46"/>
      <c r="J1395" s="46"/>
      <c r="K1395" s="46"/>
      <c r="L1395" s="46"/>
      <c r="M1395" s="46" t="str">
        <f aca="false">IF(OR(B1395="",I1395=""),"",IFERROR(INDEX('Comment flow'!$C$40:$C$46,MATCH(I1395,'Comment flow'!$A$40:$A$46,0)),""))</f>
        <v/>
      </c>
      <c r="N1395" s="46" t="str">
        <f aca="false">IF(B1395="","",IF(OR(I1395="",I1395="Open: needs a decision",L1395=""),"Open","Closed"))</f>
        <v/>
      </c>
      <c r="O1395" s="46"/>
      <c r="P1395" s="46" t="str">
        <f aca="false">IF(OR(B1395="",I1395&lt;&gt;"Save for a later revision"),"",IF(COUNTIF('Deferred edits'!$K$2:$K$201,A1395)&gt;0,"Yes","● Add to Deferred edits"))</f>
        <v/>
      </c>
    </row>
    <row r="1396" customFormat="false" ht="15" hidden="false" customHeight="false" outlineLevel="0" collapsed="false">
      <c r="A1396" s="46" t="s">
        <v>1691</v>
      </c>
      <c r="B1396" s="46"/>
      <c r="C1396" s="46"/>
      <c r="D1396" s="46"/>
      <c r="E1396" s="46"/>
      <c r="F1396" s="46"/>
      <c r="G1396" s="46"/>
      <c r="H1396" s="46"/>
      <c r="I1396" s="46"/>
      <c r="J1396" s="46"/>
      <c r="K1396" s="46"/>
      <c r="L1396" s="46"/>
      <c r="M1396" s="46" t="str">
        <f aca="false">IF(OR(B1396="",I1396=""),"",IFERROR(INDEX('Comment flow'!$C$40:$C$46,MATCH(I1396,'Comment flow'!$A$40:$A$46,0)),""))</f>
        <v/>
      </c>
      <c r="N1396" s="46" t="str">
        <f aca="false">IF(B1396="","",IF(OR(I1396="",I1396="Open: needs a decision",L1396=""),"Open","Closed"))</f>
        <v/>
      </c>
      <c r="O1396" s="46"/>
      <c r="P1396" s="46" t="str">
        <f aca="false">IF(OR(B1396="",I1396&lt;&gt;"Save for a later revision"),"",IF(COUNTIF('Deferred edits'!$K$2:$K$201,A1396)&gt;0,"Yes","● Add to Deferred edits"))</f>
        <v/>
      </c>
    </row>
    <row r="1397" customFormat="false" ht="15" hidden="false" customHeight="false" outlineLevel="0" collapsed="false">
      <c r="A1397" s="46" t="s">
        <v>1692</v>
      </c>
      <c r="B1397" s="46"/>
      <c r="C1397" s="46"/>
      <c r="D1397" s="46"/>
      <c r="E1397" s="46"/>
      <c r="F1397" s="46"/>
      <c r="G1397" s="46"/>
      <c r="H1397" s="46"/>
      <c r="I1397" s="46"/>
      <c r="J1397" s="46"/>
      <c r="K1397" s="46"/>
      <c r="L1397" s="46"/>
      <c r="M1397" s="46" t="str">
        <f aca="false">IF(OR(B1397="",I1397=""),"",IFERROR(INDEX('Comment flow'!$C$40:$C$46,MATCH(I1397,'Comment flow'!$A$40:$A$46,0)),""))</f>
        <v/>
      </c>
      <c r="N1397" s="46" t="str">
        <f aca="false">IF(B1397="","",IF(OR(I1397="",I1397="Open: needs a decision",L1397=""),"Open","Closed"))</f>
        <v/>
      </c>
      <c r="O1397" s="46"/>
      <c r="P1397" s="46" t="str">
        <f aca="false">IF(OR(B1397="",I1397&lt;&gt;"Save for a later revision"),"",IF(COUNTIF('Deferred edits'!$K$2:$K$201,A1397)&gt;0,"Yes","● Add to Deferred edits"))</f>
        <v/>
      </c>
    </row>
    <row r="1398" customFormat="false" ht="15" hidden="false" customHeight="false" outlineLevel="0" collapsed="false">
      <c r="A1398" s="46" t="s">
        <v>1693</v>
      </c>
      <c r="B1398" s="46"/>
      <c r="C1398" s="46"/>
      <c r="D1398" s="46"/>
      <c r="E1398" s="46"/>
      <c r="F1398" s="46"/>
      <c r="G1398" s="46"/>
      <c r="H1398" s="46"/>
      <c r="I1398" s="46"/>
      <c r="J1398" s="46"/>
      <c r="K1398" s="46"/>
      <c r="L1398" s="46"/>
      <c r="M1398" s="46" t="str">
        <f aca="false">IF(OR(B1398="",I1398=""),"",IFERROR(INDEX('Comment flow'!$C$40:$C$46,MATCH(I1398,'Comment flow'!$A$40:$A$46,0)),""))</f>
        <v/>
      </c>
      <c r="N1398" s="46" t="str">
        <f aca="false">IF(B1398="","",IF(OR(I1398="",I1398="Open: needs a decision",L1398=""),"Open","Closed"))</f>
        <v/>
      </c>
      <c r="O1398" s="46"/>
      <c r="P1398" s="46" t="str">
        <f aca="false">IF(OR(B1398="",I1398&lt;&gt;"Save for a later revision"),"",IF(COUNTIF('Deferred edits'!$K$2:$K$201,A1398)&gt;0,"Yes","● Add to Deferred edits"))</f>
        <v/>
      </c>
    </row>
    <row r="1399" customFormat="false" ht="15" hidden="false" customHeight="false" outlineLevel="0" collapsed="false">
      <c r="A1399" s="46" t="s">
        <v>1694</v>
      </c>
      <c r="B1399" s="46"/>
      <c r="C1399" s="46"/>
      <c r="D1399" s="46"/>
      <c r="E1399" s="46"/>
      <c r="F1399" s="46"/>
      <c r="G1399" s="46"/>
      <c r="H1399" s="46"/>
      <c r="I1399" s="46"/>
      <c r="J1399" s="46"/>
      <c r="K1399" s="46"/>
      <c r="L1399" s="46"/>
      <c r="M1399" s="46" t="str">
        <f aca="false">IF(OR(B1399="",I1399=""),"",IFERROR(INDEX('Comment flow'!$C$40:$C$46,MATCH(I1399,'Comment flow'!$A$40:$A$46,0)),""))</f>
        <v/>
      </c>
      <c r="N1399" s="46" t="str">
        <f aca="false">IF(B1399="","",IF(OR(I1399="",I1399="Open: needs a decision",L1399=""),"Open","Closed"))</f>
        <v/>
      </c>
      <c r="O1399" s="46"/>
      <c r="P1399" s="46" t="str">
        <f aca="false">IF(OR(B1399="",I1399&lt;&gt;"Save for a later revision"),"",IF(COUNTIF('Deferred edits'!$K$2:$K$201,A1399)&gt;0,"Yes","● Add to Deferred edits"))</f>
        <v/>
      </c>
    </row>
    <row r="1400" customFormat="false" ht="15" hidden="false" customHeight="false" outlineLevel="0" collapsed="false">
      <c r="A1400" s="46" t="s">
        <v>1695</v>
      </c>
      <c r="B1400" s="46"/>
      <c r="C1400" s="46"/>
      <c r="D1400" s="46"/>
      <c r="E1400" s="46"/>
      <c r="F1400" s="46"/>
      <c r="G1400" s="46"/>
      <c r="H1400" s="46"/>
      <c r="I1400" s="46"/>
      <c r="J1400" s="46"/>
      <c r="K1400" s="46"/>
      <c r="L1400" s="46"/>
      <c r="M1400" s="46" t="str">
        <f aca="false">IF(OR(B1400="",I1400=""),"",IFERROR(INDEX('Comment flow'!$C$40:$C$46,MATCH(I1400,'Comment flow'!$A$40:$A$46,0)),""))</f>
        <v/>
      </c>
      <c r="N1400" s="46" t="str">
        <f aca="false">IF(B1400="","",IF(OR(I1400="",I1400="Open: needs a decision",L1400=""),"Open","Closed"))</f>
        <v/>
      </c>
      <c r="O1400" s="46"/>
      <c r="P1400" s="46" t="str">
        <f aca="false">IF(OR(B1400="",I1400&lt;&gt;"Save for a later revision"),"",IF(COUNTIF('Deferred edits'!$K$2:$K$201,A1400)&gt;0,"Yes","● Add to Deferred edits"))</f>
        <v/>
      </c>
    </row>
    <row r="1401" customFormat="false" ht="15" hidden="false" customHeight="false" outlineLevel="0" collapsed="false">
      <c r="A1401" s="46" t="s">
        <v>1696</v>
      </c>
      <c r="B1401" s="46"/>
      <c r="C1401" s="46"/>
      <c r="D1401" s="46"/>
      <c r="E1401" s="46"/>
      <c r="F1401" s="46"/>
      <c r="G1401" s="46"/>
      <c r="H1401" s="46"/>
      <c r="I1401" s="46"/>
      <c r="J1401" s="46"/>
      <c r="K1401" s="46"/>
      <c r="L1401" s="46"/>
      <c r="M1401" s="46" t="str">
        <f aca="false">IF(OR(B1401="",I1401=""),"",IFERROR(INDEX('Comment flow'!$C$40:$C$46,MATCH(I1401,'Comment flow'!$A$40:$A$46,0)),""))</f>
        <v/>
      </c>
      <c r="N1401" s="46" t="str">
        <f aca="false">IF(B1401="","",IF(OR(I1401="",I1401="Open: needs a decision",L1401=""),"Open","Closed"))</f>
        <v/>
      </c>
      <c r="O1401" s="46"/>
      <c r="P1401" s="46" t="str">
        <f aca="false">IF(OR(B1401="",I1401&lt;&gt;"Save for a later revision"),"",IF(COUNTIF('Deferred edits'!$K$2:$K$201,A1401)&gt;0,"Yes","● Add to Deferred edits"))</f>
        <v/>
      </c>
    </row>
    <row r="1402" customFormat="false" ht="15" hidden="false" customHeight="false" outlineLevel="0" collapsed="false">
      <c r="A1402" s="46" t="s">
        <v>1697</v>
      </c>
      <c r="B1402" s="46"/>
      <c r="C1402" s="46"/>
      <c r="D1402" s="46"/>
      <c r="E1402" s="46"/>
      <c r="F1402" s="46"/>
      <c r="G1402" s="46"/>
      <c r="H1402" s="46"/>
      <c r="I1402" s="46"/>
      <c r="J1402" s="46"/>
      <c r="K1402" s="46"/>
      <c r="L1402" s="46"/>
      <c r="M1402" s="46" t="str">
        <f aca="false">IF(OR(B1402="",I1402=""),"",IFERROR(INDEX('Comment flow'!$C$40:$C$46,MATCH(I1402,'Comment flow'!$A$40:$A$46,0)),""))</f>
        <v/>
      </c>
      <c r="N1402" s="46" t="str">
        <f aca="false">IF(B1402="","",IF(OR(I1402="",I1402="Open: needs a decision",L1402=""),"Open","Closed"))</f>
        <v/>
      </c>
      <c r="O1402" s="46"/>
      <c r="P1402" s="46" t="str">
        <f aca="false">IF(OR(B1402="",I1402&lt;&gt;"Save for a later revision"),"",IF(COUNTIF('Deferred edits'!$K$2:$K$201,A1402)&gt;0,"Yes","● Add to Deferred edits"))</f>
        <v/>
      </c>
    </row>
    <row r="1403" customFormat="false" ht="15" hidden="false" customHeight="false" outlineLevel="0" collapsed="false">
      <c r="A1403" s="46" t="s">
        <v>1698</v>
      </c>
      <c r="B1403" s="46"/>
      <c r="C1403" s="46"/>
      <c r="D1403" s="46"/>
      <c r="E1403" s="46"/>
      <c r="F1403" s="46"/>
      <c r="G1403" s="46"/>
      <c r="H1403" s="46"/>
      <c r="I1403" s="46"/>
      <c r="J1403" s="46"/>
      <c r="K1403" s="46"/>
      <c r="L1403" s="46"/>
      <c r="M1403" s="46" t="str">
        <f aca="false">IF(OR(B1403="",I1403=""),"",IFERROR(INDEX('Comment flow'!$C$40:$C$46,MATCH(I1403,'Comment flow'!$A$40:$A$46,0)),""))</f>
        <v/>
      </c>
      <c r="N1403" s="46" t="str">
        <f aca="false">IF(B1403="","",IF(OR(I1403="",I1403="Open: needs a decision",L1403=""),"Open","Closed"))</f>
        <v/>
      </c>
      <c r="O1403" s="46"/>
      <c r="P1403" s="46" t="str">
        <f aca="false">IF(OR(B1403="",I1403&lt;&gt;"Save for a later revision"),"",IF(COUNTIF('Deferred edits'!$K$2:$K$201,A1403)&gt;0,"Yes","● Add to Deferred edits"))</f>
        <v/>
      </c>
    </row>
    <row r="1404" customFormat="false" ht="15" hidden="false" customHeight="false" outlineLevel="0" collapsed="false">
      <c r="A1404" s="46" t="s">
        <v>1699</v>
      </c>
      <c r="B1404" s="46"/>
      <c r="C1404" s="46"/>
      <c r="D1404" s="46"/>
      <c r="E1404" s="46"/>
      <c r="F1404" s="46"/>
      <c r="G1404" s="46"/>
      <c r="H1404" s="46"/>
      <c r="I1404" s="46"/>
      <c r="J1404" s="46"/>
      <c r="K1404" s="46"/>
      <c r="L1404" s="46"/>
      <c r="M1404" s="46" t="str">
        <f aca="false">IF(OR(B1404="",I1404=""),"",IFERROR(INDEX('Comment flow'!$C$40:$C$46,MATCH(I1404,'Comment flow'!$A$40:$A$46,0)),""))</f>
        <v/>
      </c>
      <c r="N1404" s="46" t="str">
        <f aca="false">IF(B1404="","",IF(OR(I1404="",I1404="Open: needs a decision",L1404=""),"Open","Closed"))</f>
        <v/>
      </c>
      <c r="O1404" s="46"/>
      <c r="P1404" s="46" t="str">
        <f aca="false">IF(OR(B1404="",I1404&lt;&gt;"Save for a later revision"),"",IF(COUNTIF('Deferred edits'!$K$2:$K$201,A1404)&gt;0,"Yes","● Add to Deferred edits"))</f>
        <v/>
      </c>
    </row>
    <row r="1405" customFormat="false" ht="15" hidden="false" customHeight="false" outlineLevel="0" collapsed="false">
      <c r="A1405" s="46" t="s">
        <v>1700</v>
      </c>
      <c r="B1405" s="46"/>
      <c r="C1405" s="46"/>
      <c r="D1405" s="46"/>
      <c r="E1405" s="46"/>
      <c r="F1405" s="46"/>
      <c r="G1405" s="46"/>
      <c r="H1405" s="46"/>
      <c r="I1405" s="46"/>
      <c r="J1405" s="46"/>
      <c r="K1405" s="46"/>
      <c r="L1405" s="46"/>
      <c r="M1405" s="46" t="str">
        <f aca="false">IF(OR(B1405="",I1405=""),"",IFERROR(INDEX('Comment flow'!$C$40:$C$46,MATCH(I1405,'Comment flow'!$A$40:$A$46,0)),""))</f>
        <v/>
      </c>
      <c r="N1405" s="46" t="str">
        <f aca="false">IF(B1405="","",IF(OR(I1405="",I1405="Open: needs a decision",L1405=""),"Open","Closed"))</f>
        <v/>
      </c>
      <c r="O1405" s="46"/>
      <c r="P1405" s="46" t="str">
        <f aca="false">IF(OR(B1405="",I1405&lt;&gt;"Save for a later revision"),"",IF(COUNTIF('Deferred edits'!$K$2:$K$201,A1405)&gt;0,"Yes","● Add to Deferred edits"))</f>
        <v/>
      </c>
    </row>
    <row r="1406" customFormat="false" ht="15" hidden="false" customHeight="false" outlineLevel="0" collapsed="false">
      <c r="A1406" s="46" t="s">
        <v>1701</v>
      </c>
      <c r="B1406" s="46"/>
      <c r="C1406" s="46"/>
      <c r="D1406" s="46"/>
      <c r="E1406" s="46"/>
      <c r="F1406" s="46"/>
      <c r="G1406" s="46"/>
      <c r="H1406" s="46"/>
      <c r="I1406" s="46"/>
      <c r="J1406" s="46"/>
      <c r="K1406" s="46"/>
      <c r="L1406" s="46"/>
      <c r="M1406" s="46" t="str">
        <f aca="false">IF(OR(B1406="",I1406=""),"",IFERROR(INDEX('Comment flow'!$C$40:$C$46,MATCH(I1406,'Comment flow'!$A$40:$A$46,0)),""))</f>
        <v/>
      </c>
      <c r="N1406" s="46" t="str">
        <f aca="false">IF(B1406="","",IF(OR(I1406="",I1406="Open: needs a decision",L1406=""),"Open","Closed"))</f>
        <v/>
      </c>
      <c r="O1406" s="46"/>
      <c r="P1406" s="46" t="str">
        <f aca="false">IF(OR(B1406="",I1406&lt;&gt;"Save for a later revision"),"",IF(COUNTIF('Deferred edits'!$K$2:$K$201,A1406)&gt;0,"Yes","● Add to Deferred edits"))</f>
        <v/>
      </c>
    </row>
    <row r="1407" customFormat="false" ht="15" hidden="false" customHeight="false" outlineLevel="0" collapsed="false">
      <c r="A1407" s="46" t="s">
        <v>1702</v>
      </c>
      <c r="B1407" s="46"/>
      <c r="C1407" s="46"/>
      <c r="D1407" s="46"/>
      <c r="E1407" s="46"/>
      <c r="F1407" s="46"/>
      <c r="G1407" s="46"/>
      <c r="H1407" s="46"/>
      <c r="I1407" s="46"/>
      <c r="J1407" s="46"/>
      <c r="K1407" s="46"/>
      <c r="L1407" s="46"/>
      <c r="M1407" s="46" t="str">
        <f aca="false">IF(OR(B1407="",I1407=""),"",IFERROR(INDEX('Comment flow'!$C$40:$C$46,MATCH(I1407,'Comment flow'!$A$40:$A$46,0)),""))</f>
        <v/>
      </c>
      <c r="N1407" s="46" t="str">
        <f aca="false">IF(B1407="","",IF(OR(I1407="",I1407="Open: needs a decision",L1407=""),"Open","Closed"))</f>
        <v/>
      </c>
      <c r="O1407" s="46"/>
      <c r="P1407" s="46" t="str">
        <f aca="false">IF(OR(B1407="",I1407&lt;&gt;"Save for a later revision"),"",IF(COUNTIF('Deferred edits'!$K$2:$K$201,A1407)&gt;0,"Yes","● Add to Deferred edits"))</f>
        <v/>
      </c>
    </row>
    <row r="1408" customFormat="false" ht="15" hidden="false" customHeight="false" outlineLevel="0" collapsed="false">
      <c r="A1408" s="46" t="s">
        <v>1703</v>
      </c>
      <c r="B1408" s="46"/>
      <c r="C1408" s="46"/>
      <c r="D1408" s="46"/>
      <c r="E1408" s="46"/>
      <c r="F1408" s="46"/>
      <c r="G1408" s="46"/>
      <c r="H1408" s="46"/>
      <c r="I1408" s="46"/>
      <c r="J1408" s="46"/>
      <c r="K1408" s="46"/>
      <c r="L1408" s="46"/>
      <c r="M1408" s="46" t="str">
        <f aca="false">IF(OR(B1408="",I1408=""),"",IFERROR(INDEX('Comment flow'!$C$40:$C$46,MATCH(I1408,'Comment flow'!$A$40:$A$46,0)),""))</f>
        <v/>
      </c>
      <c r="N1408" s="46" t="str">
        <f aca="false">IF(B1408="","",IF(OR(I1408="",I1408="Open: needs a decision",L1408=""),"Open","Closed"))</f>
        <v/>
      </c>
      <c r="O1408" s="46"/>
      <c r="P1408" s="46" t="str">
        <f aca="false">IF(OR(B1408="",I1408&lt;&gt;"Save for a later revision"),"",IF(COUNTIF('Deferred edits'!$K$2:$K$201,A1408)&gt;0,"Yes","● Add to Deferred edits"))</f>
        <v/>
      </c>
    </row>
    <row r="1409" customFormat="false" ht="15" hidden="false" customHeight="false" outlineLevel="0" collapsed="false">
      <c r="A1409" s="46" t="s">
        <v>1704</v>
      </c>
      <c r="B1409" s="46"/>
      <c r="C1409" s="46"/>
      <c r="D1409" s="46"/>
      <c r="E1409" s="46"/>
      <c r="F1409" s="46"/>
      <c r="G1409" s="46"/>
      <c r="H1409" s="46"/>
      <c r="I1409" s="46"/>
      <c r="J1409" s="46"/>
      <c r="K1409" s="46"/>
      <c r="L1409" s="46"/>
      <c r="M1409" s="46" t="str">
        <f aca="false">IF(OR(B1409="",I1409=""),"",IFERROR(INDEX('Comment flow'!$C$40:$C$46,MATCH(I1409,'Comment flow'!$A$40:$A$46,0)),""))</f>
        <v/>
      </c>
      <c r="N1409" s="46" t="str">
        <f aca="false">IF(B1409="","",IF(OR(I1409="",I1409="Open: needs a decision",L1409=""),"Open","Closed"))</f>
        <v/>
      </c>
      <c r="O1409" s="46"/>
      <c r="P1409" s="46" t="str">
        <f aca="false">IF(OR(B1409="",I1409&lt;&gt;"Save for a later revision"),"",IF(COUNTIF('Deferred edits'!$K$2:$K$201,A1409)&gt;0,"Yes","● Add to Deferred edits"))</f>
        <v/>
      </c>
    </row>
    <row r="1410" customFormat="false" ht="15" hidden="false" customHeight="false" outlineLevel="0" collapsed="false">
      <c r="A1410" s="46" t="s">
        <v>1705</v>
      </c>
      <c r="B1410" s="46"/>
      <c r="C1410" s="46"/>
      <c r="D1410" s="46"/>
      <c r="E1410" s="46"/>
      <c r="F1410" s="46"/>
      <c r="G1410" s="46"/>
      <c r="H1410" s="46"/>
      <c r="I1410" s="46"/>
      <c r="J1410" s="46"/>
      <c r="K1410" s="46"/>
      <c r="L1410" s="46"/>
      <c r="M1410" s="46" t="str">
        <f aca="false">IF(OR(B1410="",I1410=""),"",IFERROR(INDEX('Comment flow'!$C$40:$C$46,MATCH(I1410,'Comment flow'!$A$40:$A$46,0)),""))</f>
        <v/>
      </c>
      <c r="N1410" s="46" t="str">
        <f aca="false">IF(B1410="","",IF(OR(I1410="",I1410="Open: needs a decision",L1410=""),"Open","Closed"))</f>
        <v/>
      </c>
      <c r="O1410" s="46"/>
      <c r="P1410" s="46" t="str">
        <f aca="false">IF(OR(B1410="",I1410&lt;&gt;"Save for a later revision"),"",IF(COUNTIF('Deferred edits'!$K$2:$K$201,A1410)&gt;0,"Yes","● Add to Deferred edits"))</f>
        <v/>
      </c>
    </row>
    <row r="1411" customFormat="false" ht="15" hidden="false" customHeight="false" outlineLevel="0" collapsed="false">
      <c r="A1411" s="46" t="s">
        <v>1706</v>
      </c>
      <c r="B1411" s="46"/>
      <c r="C1411" s="46"/>
      <c r="D1411" s="46"/>
      <c r="E1411" s="46"/>
      <c r="F1411" s="46"/>
      <c r="G1411" s="46"/>
      <c r="H1411" s="46"/>
      <c r="I1411" s="46"/>
      <c r="J1411" s="46"/>
      <c r="K1411" s="46"/>
      <c r="L1411" s="46"/>
      <c r="M1411" s="46" t="str">
        <f aca="false">IF(OR(B1411="",I1411=""),"",IFERROR(INDEX('Comment flow'!$C$40:$C$46,MATCH(I1411,'Comment flow'!$A$40:$A$46,0)),""))</f>
        <v/>
      </c>
      <c r="N1411" s="46" t="str">
        <f aca="false">IF(B1411="","",IF(OR(I1411="",I1411="Open: needs a decision",L1411=""),"Open","Closed"))</f>
        <v/>
      </c>
      <c r="O1411" s="46"/>
      <c r="P1411" s="46" t="str">
        <f aca="false">IF(OR(B1411="",I1411&lt;&gt;"Save for a later revision"),"",IF(COUNTIF('Deferred edits'!$K$2:$K$201,A1411)&gt;0,"Yes","● Add to Deferred edits"))</f>
        <v/>
      </c>
    </row>
    <row r="1412" customFormat="false" ht="15" hidden="false" customHeight="false" outlineLevel="0" collapsed="false">
      <c r="A1412" s="46" t="s">
        <v>1707</v>
      </c>
      <c r="B1412" s="46"/>
      <c r="C1412" s="46"/>
      <c r="D1412" s="46"/>
      <c r="E1412" s="46"/>
      <c r="F1412" s="46"/>
      <c r="G1412" s="46"/>
      <c r="H1412" s="46"/>
      <c r="I1412" s="46"/>
      <c r="J1412" s="46"/>
      <c r="K1412" s="46"/>
      <c r="L1412" s="46"/>
      <c r="M1412" s="46" t="str">
        <f aca="false">IF(OR(B1412="",I1412=""),"",IFERROR(INDEX('Comment flow'!$C$40:$C$46,MATCH(I1412,'Comment flow'!$A$40:$A$46,0)),""))</f>
        <v/>
      </c>
      <c r="N1412" s="46" t="str">
        <f aca="false">IF(B1412="","",IF(OR(I1412="",I1412="Open: needs a decision",L1412=""),"Open","Closed"))</f>
        <v/>
      </c>
      <c r="O1412" s="46"/>
      <c r="P1412" s="46" t="str">
        <f aca="false">IF(OR(B1412="",I1412&lt;&gt;"Save for a later revision"),"",IF(COUNTIF('Deferred edits'!$K$2:$K$201,A1412)&gt;0,"Yes","● Add to Deferred edits"))</f>
        <v/>
      </c>
    </row>
    <row r="1413" customFormat="false" ht="15" hidden="false" customHeight="false" outlineLevel="0" collapsed="false">
      <c r="A1413" s="46" t="s">
        <v>1708</v>
      </c>
      <c r="B1413" s="46"/>
      <c r="C1413" s="46"/>
      <c r="D1413" s="46"/>
      <c r="E1413" s="46"/>
      <c r="F1413" s="46"/>
      <c r="G1413" s="46"/>
      <c r="H1413" s="46"/>
      <c r="I1413" s="46"/>
      <c r="J1413" s="46"/>
      <c r="K1413" s="46"/>
      <c r="L1413" s="46"/>
      <c r="M1413" s="46" t="str">
        <f aca="false">IF(OR(B1413="",I1413=""),"",IFERROR(INDEX('Comment flow'!$C$40:$C$46,MATCH(I1413,'Comment flow'!$A$40:$A$46,0)),""))</f>
        <v/>
      </c>
      <c r="N1413" s="46" t="str">
        <f aca="false">IF(B1413="","",IF(OR(I1413="",I1413="Open: needs a decision",L1413=""),"Open","Closed"))</f>
        <v/>
      </c>
      <c r="O1413" s="46"/>
      <c r="P1413" s="46" t="str">
        <f aca="false">IF(OR(B1413="",I1413&lt;&gt;"Save for a later revision"),"",IF(COUNTIF('Deferred edits'!$K$2:$K$201,A1413)&gt;0,"Yes","● Add to Deferred edits"))</f>
        <v/>
      </c>
    </row>
    <row r="1414" customFormat="false" ht="15" hidden="false" customHeight="false" outlineLevel="0" collapsed="false">
      <c r="A1414" s="46" t="s">
        <v>1709</v>
      </c>
      <c r="B1414" s="46"/>
      <c r="C1414" s="46"/>
      <c r="D1414" s="46"/>
      <c r="E1414" s="46"/>
      <c r="F1414" s="46"/>
      <c r="G1414" s="46"/>
      <c r="H1414" s="46"/>
      <c r="I1414" s="46"/>
      <c r="J1414" s="46"/>
      <c r="K1414" s="46"/>
      <c r="L1414" s="46"/>
      <c r="M1414" s="46" t="str">
        <f aca="false">IF(OR(B1414="",I1414=""),"",IFERROR(INDEX('Comment flow'!$C$40:$C$46,MATCH(I1414,'Comment flow'!$A$40:$A$46,0)),""))</f>
        <v/>
      </c>
      <c r="N1414" s="46" t="str">
        <f aca="false">IF(B1414="","",IF(OR(I1414="",I1414="Open: needs a decision",L1414=""),"Open","Closed"))</f>
        <v/>
      </c>
      <c r="O1414" s="46"/>
      <c r="P1414" s="46" t="str">
        <f aca="false">IF(OR(B1414="",I1414&lt;&gt;"Save for a later revision"),"",IF(COUNTIF('Deferred edits'!$K$2:$K$201,A1414)&gt;0,"Yes","● Add to Deferred edits"))</f>
        <v/>
      </c>
    </row>
    <row r="1415" customFormat="false" ht="15" hidden="false" customHeight="false" outlineLevel="0" collapsed="false">
      <c r="A1415" s="46" t="s">
        <v>1710</v>
      </c>
      <c r="B1415" s="46"/>
      <c r="C1415" s="46"/>
      <c r="D1415" s="46"/>
      <c r="E1415" s="46"/>
      <c r="F1415" s="46"/>
      <c r="G1415" s="46"/>
      <c r="H1415" s="46"/>
      <c r="I1415" s="46"/>
      <c r="J1415" s="46"/>
      <c r="K1415" s="46"/>
      <c r="L1415" s="46"/>
      <c r="M1415" s="46" t="str">
        <f aca="false">IF(OR(B1415="",I1415=""),"",IFERROR(INDEX('Comment flow'!$C$40:$C$46,MATCH(I1415,'Comment flow'!$A$40:$A$46,0)),""))</f>
        <v/>
      </c>
      <c r="N1415" s="46" t="str">
        <f aca="false">IF(B1415="","",IF(OR(I1415="",I1415="Open: needs a decision",L1415=""),"Open","Closed"))</f>
        <v/>
      </c>
      <c r="O1415" s="46"/>
      <c r="P1415" s="46" t="str">
        <f aca="false">IF(OR(B1415="",I1415&lt;&gt;"Save for a later revision"),"",IF(COUNTIF('Deferred edits'!$K$2:$K$201,A1415)&gt;0,"Yes","● Add to Deferred edits"))</f>
        <v/>
      </c>
    </row>
    <row r="1416" customFormat="false" ht="15" hidden="false" customHeight="false" outlineLevel="0" collapsed="false">
      <c r="A1416" s="46" t="s">
        <v>1711</v>
      </c>
      <c r="B1416" s="46"/>
      <c r="C1416" s="46"/>
      <c r="D1416" s="46"/>
      <c r="E1416" s="46"/>
      <c r="F1416" s="46"/>
      <c r="G1416" s="46"/>
      <c r="H1416" s="46"/>
      <c r="I1416" s="46"/>
      <c r="J1416" s="46"/>
      <c r="K1416" s="46"/>
      <c r="L1416" s="46"/>
      <c r="M1416" s="46" t="str">
        <f aca="false">IF(OR(B1416="",I1416=""),"",IFERROR(INDEX('Comment flow'!$C$40:$C$46,MATCH(I1416,'Comment flow'!$A$40:$A$46,0)),""))</f>
        <v/>
      </c>
      <c r="N1416" s="46" t="str">
        <f aca="false">IF(B1416="","",IF(OR(I1416="",I1416="Open: needs a decision",L1416=""),"Open","Closed"))</f>
        <v/>
      </c>
      <c r="O1416" s="46"/>
      <c r="P1416" s="46" t="str">
        <f aca="false">IF(OR(B1416="",I1416&lt;&gt;"Save for a later revision"),"",IF(COUNTIF('Deferred edits'!$K$2:$K$201,A1416)&gt;0,"Yes","● Add to Deferred edits"))</f>
        <v/>
      </c>
    </row>
    <row r="1417" customFormat="false" ht="15" hidden="false" customHeight="false" outlineLevel="0" collapsed="false">
      <c r="A1417" s="46" t="s">
        <v>1712</v>
      </c>
      <c r="B1417" s="46"/>
      <c r="C1417" s="46"/>
      <c r="D1417" s="46"/>
      <c r="E1417" s="46"/>
      <c r="F1417" s="46"/>
      <c r="G1417" s="46"/>
      <c r="H1417" s="46"/>
      <c r="I1417" s="46"/>
      <c r="J1417" s="46"/>
      <c r="K1417" s="46"/>
      <c r="L1417" s="46"/>
      <c r="M1417" s="46" t="str">
        <f aca="false">IF(OR(B1417="",I1417=""),"",IFERROR(INDEX('Comment flow'!$C$40:$C$46,MATCH(I1417,'Comment flow'!$A$40:$A$46,0)),""))</f>
        <v/>
      </c>
      <c r="N1417" s="46" t="str">
        <f aca="false">IF(B1417="","",IF(OR(I1417="",I1417="Open: needs a decision",L1417=""),"Open","Closed"))</f>
        <v/>
      </c>
      <c r="O1417" s="46"/>
      <c r="P1417" s="46" t="str">
        <f aca="false">IF(OR(B1417="",I1417&lt;&gt;"Save for a later revision"),"",IF(COUNTIF('Deferred edits'!$K$2:$K$201,A1417)&gt;0,"Yes","● Add to Deferred edits"))</f>
        <v/>
      </c>
    </row>
    <row r="1418" customFormat="false" ht="15" hidden="false" customHeight="false" outlineLevel="0" collapsed="false">
      <c r="A1418" s="46" t="s">
        <v>1713</v>
      </c>
      <c r="B1418" s="46"/>
      <c r="C1418" s="46"/>
      <c r="D1418" s="46"/>
      <c r="E1418" s="46"/>
      <c r="F1418" s="46"/>
      <c r="G1418" s="46"/>
      <c r="H1418" s="46"/>
      <c r="I1418" s="46"/>
      <c r="J1418" s="46"/>
      <c r="K1418" s="46"/>
      <c r="L1418" s="46"/>
      <c r="M1418" s="46" t="str">
        <f aca="false">IF(OR(B1418="",I1418=""),"",IFERROR(INDEX('Comment flow'!$C$40:$C$46,MATCH(I1418,'Comment flow'!$A$40:$A$46,0)),""))</f>
        <v/>
      </c>
      <c r="N1418" s="46" t="str">
        <f aca="false">IF(B1418="","",IF(OR(I1418="",I1418="Open: needs a decision",L1418=""),"Open","Closed"))</f>
        <v/>
      </c>
      <c r="O1418" s="46"/>
      <c r="P1418" s="46" t="str">
        <f aca="false">IF(OR(B1418="",I1418&lt;&gt;"Save for a later revision"),"",IF(COUNTIF('Deferred edits'!$K$2:$K$201,A1418)&gt;0,"Yes","● Add to Deferred edits"))</f>
        <v/>
      </c>
    </row>
    <row r="1419" customFormat="false" ht="15" hidden="false" customHeight="false" outlineLevel="0" collapsed="false">
      <c r="A1419" s="46" t="s">
        <v>1714</v>
      </c>
      <c r="B1419" s="46"/>
      <c r="C1419" s="46"/>
      <c r="D1419" s="46"/>
      <c r="E1419" s="46"/>
      <c r="F1419" s="46"/>
      <c r="G1419" s="46"/>
      <c r="H1419" s="46"/>
      <c r="I1419" s="46"/>
      <c r="J1419" s="46"/>
      <c r="K1419" s="46"/>
      <c r="L1419" s="46"/>
      <c r="M1419" s="46" t="str">
        <f aca="false">IF(OR(B1419="",I1419=""),"",IFERROR(INDEX('Comment flow'!$C$40:$C$46,MATCH(I1419,'Comment flow'!$A$40:$A$46,0)),""))</f>
        <v/>
      </c>
      <c r="N1419" s="46" t="str">
        <f aca="false">IF(B1419="","",IF(OR(I1419="",I1419="Open: needs a decision",L1419=""),"Open","Closed"))</f>
        <v/>
      </c>
      <c r="O1419" s="46"/>
      <c r="P1419" s="46" t="str">
        <f aca="false">IF(OR(B1419="",I1419&lt;&gt;"Save for a later revision"),"",IF(COUNTIF('Deferred edits'!$K$2:$K$201,A1419)&gt;0,"Yes","● Add to Deferred edits"))</f>
        <v/>
      </c>
    </row>
    <row r="1420" customFormat="false" ht="15" hidden="false" customHeight="false" outlineLevel="0" collapsed="false">
      <c r="A1420" s="46" t="s">
        <v>1715</v>
      </c>
      <c r="B1420" s="46"/>
      <c r="C1420" s="46"/>
      <c r="D1420" s="46"/>
      <c r="E1420" s="46"/>
      <c r="F1420" s="46"/>
      <c r="G1420" s="46"/>
      <c r="H1420" s="46"/>
      <c r="I1420" s="46"/>
      <c r="J1420" s="46"/>
      <c r="K1420" s="46"/>
      <c r="L1420" s="46"/>
      <c r="M1420" s="46" t="str">
        <f aca="false">IF(OR(B1420="",I1420=""),"",IFERROR(INDEX('Comment flow'!$C$40:$C$46,MATCH(I1420,'Comment flow'!$A$40:$A$46,0)),""))</f>
        <v/>
      </c>
      <c r="N1420" s="46" t="str">
        <f aca="false">IF(B1420="","",IF(OR(I1420="",I1420="Open: needs a decision",L1420=""),"Open","Closed"))</f>
        <v/>
      </c>
      <c r="O1420" s="46"/>
      <c r="P1420" s="46" t="str">
        <f aca="false">IF(OR(B1420="",I1420&lt;&gt;"Save for a later revision"),"",IF(COUNTIF('Deferred edits'!$K$2:$K$201,A1420)&gt;0,"Yes","● Add to Deferred edits"))</f>
        <v/>
      </c>
    </row>
    <row r="1421" customFormat="false" ht="15" hidden="false" customHeight="false" outlineLevel="0" collapsed="false">
      <c r="A1421" s="46" t="s">
        <v>1716</v>
      </c>
      <c r="B1421" s="46"/>
      <c r="C1421" s="46"/>
      <c r="D1421" s="46"/>
      <c r="E1421" s="46"/>
      <c r="F1421" s="46"/>
      <c r="G1421" s="46"/>
      <c r="H1421" s="46"/>
      <c r="I1421" s="46"/>
      <c r="J1421" s="46"/>
      <c r="K1421" s="46"/>
      <c r="L1421" s="46"/>
      <c r="M1421" s="46" t="str">
        <f aca="false">IF(OR(B1421="",I1421=""),"",IFERROR(INDEX('Comment flow'!$C$40:$C$46,MATCH(I1421,'Comment flow'!$A$40:$A$46,0)),""))</f>
        <v/>
      </c>
      <c r="N1421" s="46" t="str">
        <f aca="false">IF(B1421="","",IF(OR(I1421="",I1421="Open: needs a decision",L1421=""),"Open","Closed"))</f>
        <v/>
      </c>
      <c r="O1421" s="46"/>
      <c r="P1421" s="46" t="str">
        <f aca="false">IF(OR(B1421="",I1421&lt;&gt;"Save for a later revision"),"",IF(COUNTIF('Deferred edits'!$K$2:$K$201,A1421)&gt;0,"Yes","● Add to Deferred edits"))</f>
        <v/>
      </c>
    </row>
    <row r="1422" customFormat="false" ht="15" hidden="false" customHeight="false" outlineLevel="0" collapsed="false">
      <c r="A1422" s="46" t="s">
        <v>1717</v>
      </c>
      <c r="B1422" s="46"/>
      <c r="C1422" s="46"/>
      <c r="D1422" s="46"/>
      <c r="E1422" s="46"/>
      <c r="F1422" s="46"/>
      <c r="G1422" s="46"/>
      <c r="H1422" s="46"/>
      <c r="I1422" s="46"/>
      <c r="J1422" s="46"/>
      <c r="K1422" s="46"/>
      <c r="L1422" s="46"/>
      <c r="M1422" s="46" t="str">
        <f aca="false">IF(OR(B1422="",I1422=""),"",IFERROR(INDEX('Comment flow'!$C$40:$C$46,MATCH(I1422,'Comment flow'!$A$40:$A$46,0)),""))</f>
        <v/>
      </c>
      <c r="N1422" s="46" t="str">
        <f aca="false">IF(B1422="","",IF(OR(I1422="",I1422="Open: needs a decision",L1422=""),"Open","Closed"))</f>
        <v/>
      </c>
      <c r="O1422" s="46"/>
      <c r="P1422" s="46" t="str">
        <f aca="false">IF(OR(B1422="",I1422&lt;&gt;"Save for a later revision"),"",IF(COUNTIF('Deferred edits'!$K$2:$K$201,A1422)&gt;0,"Yes","● Add to Deferred edits"))</f>
        <v/>
      </c>
    </row>
    <row r="1423" customFormat="false" ht="15" hidden="false" customHeight="false" outlineLevel="0" collapsed="false">
      <c r="A1423" s="46" t="s">
        <v>1718</v>
      </c>
      <c r="B1423" s="46"/>
      <c r="C1423" s="46"/>
      <c r="D1423" s="46"/>
      <c r="E1423" s="46"/>
      <c r="F1423" s="46"/>
      <c r="G1423" s="46"/>
      <c r="H1423" s="46"/>
      <c r="I1423" s="46"/>
      <c r="J1423" s="46"/>
      <c r="K1423" s="46"/>
      <c r="L1423" s="46"/>
      <c r="M1423" s="46" t="str">
        <f aca="false">IF(OR(B1423="",I1423=""),"",IFERROR(INDEX('Comment flow'!$C$40:$C$46,MATCH(I1423,'Comment flow'!$A$40:$A$46,0)),""))</f>
        <v/>
      </c>
      <c r="N1423" s="46" t="str">
        <f aca="false">IF(B1423="","",IF(OR(I1423="",I1423="Open: needs a decision",L1423=""),"Open","Closed"))</f>
        <v/>
      </c>
      <c r="O1423" s="46"/>
      <c r="P1423" s="46" t="str">
        <f aca="false">IF(OR(B1423="",I1423&lt;&gt;"Save for a later revision"),"",IF(COUNTIF('Deferred edits'!$K$2:$K$201,A1423)&gt;0,"Yes","● Add to Deferred edits"))</f>
        <v/>
      </c>
    </row>
    <row r="1424" customFormat="false" ht="15" hidden="false" customHeight="false" outlineLevel="0" collapsed="false">
      <c r="A1424" s="46" t="s">
        <v>1719</v>
      </c>
      <c r="B1424" s="46"/>
      <c r="C1424" s="46"/>
      <c r="D1424" s="46"/>
      <c r="E1424" s="46"/>
      <c r="F1424" s="46"/>
      <c r="G1424" s="46"/>
      <c r="H1424" s="46"/>
      <c r="I1424" s="46"/>
      <c r="J1424" s="46"/>
      <c r="K1424" s="46"/>
      <c r="L1424" s="46"/>
      <c r="M1424" s="46" t="str">
        <f aca="false">IF(OR(B1424="",I1424=""),"",IFERROR(INDEX('Comment flow'!$C$40:$C$46,MATCH(I1424,'Comment flow'!$A$40:$A$46,0)),""))</f>
        <v/>
      </c>
      <c r="N1424" s="46" t="str">
        <f aca="false">IF(B1424="","",IF(OR(I1424="",I1424="Open: needs a decision",L1424=""),"Open","Closed"))</f>
        <v/>
      </c>
      <c r="O1424" s="46"/>
      <c r="P1424" s="46" t="str">
        <f aca="false">IF(OR(B1424="",I1424&lt;&gt;"Save for a later revision"),"",IF(COUNTIF('Deferred edits'!$K$2:$K$201,A1424)&gt;0,"Yes","● Add to Deferred edits"))</f>
        <v/>
      </c>
    </row>
    <row r="1425" customFormat="false" ht="15" hidden="false" customHeight="false" outlineLevel="0" collapsed="false">
      <c r="A1425" s="46" t="s">
        <v>1720</v>
      </c>
      <c r="B1425" s="46"/>
      <c r="C1425" s="46"/>
      <c r="D1425" s="46"/>
      <c r="E1425" s="46"/>
      <c r="F1425" s="46"/>
      <c r="G1425" s="46"/>
      <c r="H1425" s="46"/>
      <c r="I1425" s="46"/>
      <c r="J1425" s="46"/>
      <c r="K1425" s="46"/>
      <c r="L1425" s="46"/>
      <c r="M1425" s="46" t="str">
        <f aca="false">IF(OR(B1425="",I1425=""),"",IFERROR(INDEX('Comment flow'!$C$40:$C$46,MATCH(I1425,'Comment flow'!$A$40:$A$46,0)),""))</f>
        <v/>
      </c>
      <c r="N1425" s="46" t="str">
        <f aca="false">IF(B1425="","",IF(OR(I1425="",I1425="Open: needs a decision",L1425=""),"Open","Closed"))</f>
        <v/>
      </c>
      <c r="O1425" s="46"/>
      <c r="P1425" s="46" t="str">
        <f aca="false">IF(OR(B1425="",I1425&lt;&gt;"Save for a later revision"),"",IF(COUNTIF('Deferred edits'!$K$2:$K$201,A1425)&gt;0,"Yes","● Add to Deferred edits"))</f>
        <v/>
      </c>
    </row>
    <row r="1426" customFormat="false" ht="15" hidden="false" customHeight="false" outlineLevel="0" collapsed="false">
      <c r="A1426" s="46" t="s">
        <v>1721</v>
      </c>
      <c r="B1426" s="46"/>
      <c r="C1426" s="46"/>
      <c r="D1426" s="46"/>
      <c r="E1426" s="46"/>
      <c r="F1426" s="46"/>
      <c r="G1426" s="46"/>
      <c r="H1426" s="46"/>
      <c r="I1426" s="46"/>
      <c r="J1426" s="46"/>
      <c r="K1426" s="46"/>
      <c r="L1426" s="46"/>
      <c r="M1426" s="46" t="str">
        <f aca="false">IF(OR(B1426="",I1426=""),"",IFERROR(INDEX('Comment flow'!$C$40:$C$46,MATCH(I1426,'Comment flow'!$A$40:$A$46,0)),""))</f>
        <v/>
      </c>
      <c r="N1426" s="46" t="str">
        <f aca="false">IF(B1426="","",IF(OR(I1426="",I1426="Open: needs a decision",L1426=""),"Open","Closed"))</f>
        <v/>
      </c>
      <c r="O1426" s="46"/>
      <c r="P1426" s="46" t="str">
        <f aca="false">IF(OR(B1426="",I1426&lt;&gt;"Save for a later revision"),"",IF(COUNTIF('Deferred edits'!$K$2:$K$201,A1426)&gt;0,"Yes","● Add to Deferred edits"))</f>
        <v/>
      </c>
    </row>
    <row r="1427" customFormat="false" ht="15" hidden="false" customHeight="false" outlineLevel="0" collapsed="false">
      <c r="A1427" s="46" t="s">
        <v>1722</v>
      </c>
      <c r="B1427" s="46"/>
      <c r="C1427" s="46"/>
      <c r="D1427" s="46"/>
      <c r="E1427" s="46"/>
      <c r="F1427" s="46"/>
      <c r="G1427" s="46"/>
      <c r="H1427" s="46"/>
      <c r="I1427" s="46"/>
      <c r="J1427" s="46"/>
      <c r="K1427" s="46"/>
      <c r="L1427" s="46"/>
      <c r="M1427" s="46" t="str">
        <f aca="false">IF(OR(B1427="",I1427=""),"",IFERROR(INDEX('Comment flow'!$C$40:$C$46,MATCH(I1427,'Comment flow'!$A$40:$A$46,0)),""))</f>
        <v/>
      </c>
      <c r="N1427" s="46" t="str">
        <f aca="false">IF(B1427="","",IF(OR(I1427="",I1427="Open: needs a decision",L1427=""),"Open","Closed"))</f>
        <v/>
      </c>
      <c r="O1427" s="46"/>
      <c r="P1427" s="46" t="str">
        <f aca="false">IF(OR(B1427="",I1427&lt;&gt;"Save for a later revision"),"",IF(COUNTIF('Deferred edits'!$K$2:$K$201,A1427)&gt;0,"Yes","● Add to Deferred edits"))</f>
        <v/>
      </c>
    </row>
    <row r="1428" customFormat="false" ht="15" hidden="false" customHeight="false" outlineLevel="0" collapsed="false">
      <c r="A1428" s="46" t="s">
        <v>1723</v>
      </c>
      <c r="B1428" s="46"/>
      <c r="C1428" s="46"/>
      <c r="D1428" s="46"/>
      <c r="E1428" s="46"/>
      <c r="F1428" s="46"/>
      <c r="G1428" s="46"/>
      <c r="H1428" s="46"/>
      <c r="I1428" s="46"/>
      <c r="J1428" s="46"/>
      <c r="K1428" s="46"/>
      <c r="L1428" s="46"/>
      <c r="M1428" s="46" t="str">
        <f aca="false">IF(OR(B1428="",I1428=""),"",IFERROR(INDEX('Comment flow'!$C$40:$C$46,MATCH(I1428,'Comment flow'!$A$40:$A$46,0)),""))</f>
        <v/>
      </c>
      <c r="N1428" s="46" t="str">
        <f aca="false">IF(B1428="","",IF(OR(I1428="",I1428="Open: needs a decision",L1428=""),"Open","Closed"))</f>
        <v/>
      </c>
      <c r="O1428" s="46"/>
      <c r="P1428" s="46" t="str">
        <f aca="false">IF(OR(B1428="",I1428&lt;&gt;"Save for a later revision"),"",IF(COUNTIF('Deferred edits'!$K$2:$K$201,A1428)&gt;0,"Yes","● Add to Deferred edits"))</f>
        <v/>
      </c>
    </row>
    <row r="1429" customFormat="false" ht="15" hidden="false" customHeight="false" outlineLevel="0" collapsed="false">
      <c r="A1429" s="46" t="s">
        <v>1724</v>
      </c>
      <c r="B1429" s="46"/>
      <c r="C1429" s="46"/>
      <c r="D1429" s="46"/>
      <c r="E1429" s="46"/>
      <c r="F1429" s="46"/>
      <c r="G1429" s="46"/>
      <c r="H1429" s="46"/>
      <c r="I1429" s="46"/>
      <c r="J1429" s="46"/>
      <c r="K1429" s="46"/>
      <c r="L1429" s="46"/>
      <c r="M1429" s="46" t="str">
        <f aca="false">IF(OR(B1429="",I1429=""),"",IFERROR(INDEX('Comment flow'!$C$40:$C$46,MATCH(I1429,'Comment flow'!$A$40:$A$46,0)),""))</f>
        <v/>
      </c>
      <c r="N1429" s="46" t="str">
        <f aca="false">IF(B1429="","",IF(OR(I1429="",I1429="Open: needs a decision",L1429=""),"Open","Closed"))</f>
        <v/>
      </c>
      <c r="O1429" s="46"/>
      <c r="P1429" s="46" t="str">
        <f aca="false">IF(OR(B1429="",I1429&lt;&gt;"Save for a later revision"),"",IF(COUNTIF('Deferred edits'!$K$2:$K$201,A1429)&gt;0,"Yes","● Add to Deferred edits"))</f>
        <v/>
      </c>
    </row>
    <row r="1430" customFormat="false" ht="15" hidden="false" customHeight="false" outlineLevel="0" collapsed="false">
      <c r="A1430" s="46" t="s">
        <v>1725</v>
      </c>
      <c r="B1430" s="46"/>
      <c r="C1430" s="46"/>
      <c r="D1430" s="46"/>
      <c r="E1430" s="46"/>
      <c r="F1430" s="46"/>
      <c r="G1430" s="46"/>
      <c r="H1430" s="46"/>
      <c r="I1430" s="46"/>
      <c r="J1430" s="46"/>
      <c r="K1430" s="46"/>
      <c r="L1430" s="46"/>
      <c r="M1430" s="46" t="str">
        <f aca="false">IF(OR(B1430="",I1430=""),"",IFERROR(INDEX('Comment flow'!$C$40:$C$46,MATCH(I1430,'Comment flow'!$A$40:$A$46,0)),""))</f>
        <v/>
      </c>
      <c r="N1430" s="46" t="str">
        <f aca="false">IF(B1430="","",IF(OR(I1430="",I1430="Open: needs a decision",L1430=""),"Open","Closed"))</f>
        <v/>
      </c>
      <c r="O1430" s="46"/>
      <c r="P1430" s="46" t="str">
        <f aca="false">IF(OR(B1430="",I1430&lt;&gt;"Save for a later revision"),"",IF(COUNTIF('Deferred edits'!$K$2:$K$201,A1430)&gt;0,"Yes","● Add to Deferred edits"))</f>
        <v/>
      </c>
    </row>
    <row r="1431" customFormat="false" ht="15" hidden="false" customHeight="false" outlineLevel="0" collapsed="false">
      <c r="A1431" s="46" t="s">
        <v>1726</v>
      </c>
      <c r="B1431" s="46"/>
      <c r="C1431" s="46"/>
      <c r="D1431" s="46"/>
      <c r="E1431" s="46"/>
      <c r="F1431" s="46"/>
      <c r="G1431" s="46"/>
      <c r="H1431" s="46"/>
      <c r="I1431" s="46"/>
      <c r="J1431" s="46"/>
      <c r="K1431" s="46"/>
      <c r="L1431" s="46"/>
      <c r="M1431" s="46" t="str">
        <f aca="false">IF(OR(B1431="",I1431=""),"",IFERROR(INDEX('Comment flow'!$C$40:$C$46,MATCH(I1431,'Comment flow'!$A$40:$A$46,0)),""))</f>
        <v/>
      </c>
      <c r="N1431" s="46" t="str">
        <f aca="false">IF(B1431="","",IF(OR(I1431="",I1431="Open: needs a decision",L1431=""),"Open","Closed"))</f>
        <v/>
      </c>
      <c r="O1431" s="46"/>
      <c r="P1431" s="46" t="str">
        <f aca="false">IF(OR(B1431="",I1431&lt;&gt;"Save for a later revision"),"",IF(COUNTIF('Deferred edits'!$K$2:$K$201,A1431)&gt;0,"Yes","● Add to Deferred edits"))</f>
        <v/>
      </c>
    </row>
    <row r="1432" customFormat="false" ht="15" hidden="false" customHeight="false" outlineLevel="0" collapsed="false">
      <c r="A1432" s="46" t="s">
        <v>1727</v>
      </c>
      <c r="B1432" s="46"/>
      <c r="C1432" s="46"/>
      <c r="D1432" s="46"/>
      <c r="E1432" s="46"/>
      <c r="F1432" s="46"/>
      <c r="G1432" s="46"/>
      <c r="H1432" s="46"/>
      <c r="I1432" s="46"/>
      <c r="J1432" s="46"/>
      <c r="K1432" s="46"/>
      <c r="L1432" s="46"/>
      <c r="M1432" s="46" t="str">
        <f aca="false">IF(OR(B1432="",I1432=""),"",IFERROR(INDEX('Comment flow'!$C$40:$C$46,MATCH(I1432,'Comment flow'!$A$40:$A$46,0)),""))</f>
        <v/>
      </c>
      <c r="N1432" s="46" t="str">
        <f aca="false">IF(B1432="","",IF(OR(I1432="",I1432="Open: needs a decision",L1432=""),"Open","Closed"))</f>
        <v/>
      </c>
      <c r="O1432" s="46"/>
      <c r="P1432" s="46" t="str">
        <f aca="false">IF(OR(B1432="",I1432&lt;&gt;"Save for a later revision"),"",IF(COUNTIF('Deferred edits'!$K$2:$K$201,A1432)&gt;0,"Yes","● Add to Deferred edits"))</f>
        <v/>
      </c>
    </row>
    <row r="1433" customFormat="false" ht="15" hidden="false" customHeight="false" outlineLevel="0" collapsed="false">
      <c r="A1433" s="46" t="s">
        <v>1728</v>
      </c>
      <c r="B1433" s="46"/>
      <c r="C1433" s="46"/>
      <c r="D1433" s="46"/>
      <c r="E1433" s="46"/>
      <c r="F1433" s="46"/>
      <c r="G1433" s="46"/>
      <c r="H1433" s="46"/>
      <c r="I1433" s="46"/>
      <c r="J1433" s="46"/>
      <c r="K1433" s="46"/>
      <c r="L1433" s="46"/>
      <c r="M1433" s="46" t="str">
        <f aca="false">IF(OR(B1433="",I1433=""),"",IFERROR(INDEX('Comment flow'!$C$40:$C$46,MATCH(I1433,'Comment flow'!$A$40:$A$46,0)),""))</f>
        <v/>
      </c>
      <c r="N1433" s="46" t="str">
        <f aca="false">IF(B1433="","",IF(OR(I1433="",I1433="Open: needs a decision",L1433=""),"Open","Closed"))</f>
        <v/>
      </c>
      <c r="O1433" s="46"/>
      <c r="P1433" s="46" t="str">
        <f aca="false">IF(OR(B1433="",I1433&lt;&gt;"Save for a later revision"),"",IF(COUNTIF('Deferred edits'!$K$2:$K$201,A1433)&gt;0,"Yes","● Add to Deferred edits"))</f>
        <v/>
      </c>
    </row>
    <row r="1434" customFormat="false" ht="15" hidden="false" customHeight="false" outlineLevel="0" collapsed="false">
      <c r="A1434" s="46" t="s">
        <v>1729</v>
      </c>
      <c r="B1434" s="46"/>
      <c r="C1434" s="46"/>
      <c r="D1434" s="46"/>
      <c r="E1434" s="46"/>
      <c r="F1434" s="46"/>
      <c r="G1434" s="46"/>
      <c r="H1434" s="46"/>
      <c r="I1434" s="46"/>
      <c r="J1434" s="46"/>
      <c r="K1434" s="46"/>
      <c r="L1434" s="46"/>
      <c r="M1434" s="46" t="str">
        <f aca="false">IF(OR(B1434="",I1434=""),"",IFERROR(INDEX('Comment flow'!$C$40:$C$46,MATCH(I1434,'Comment flow'!$A$40:$A$46,0)),""))</f>
        <v/>
      </c>
      <c r="N1434" s="46" t="str">
        <f aca="false">IF(B1434="","",IF(OR(I1434="",I1434="Open: needs a decision",L1434=""),"Open","Closed"))</f>
        <v/>
      </c>
      <c r="O1434" s="46"/>
      <c r="P1434" s="46" t="str">
        <f aca="false">IF(OR(B1434="",I1434&lt;&gt;"Save for a later revision"),"",IF(COUNTIF('Deferred edits'!$K$2:$K$201,A1434)&gt;0,"Yes","● Add to Deferred edits"))</f>
        <v/>
      </c>
    </row>
    <row r="1435" customFormat="false" ht="15" hidden="false" customHeight="false" outlineLevel="0" collapsed="false">
      <c r="A1435" s="46" t="s">
        <v>1730</v>
      </c>
      <c r="B1435" s="46"/>
      <c r="C1435" s="46"/>
      <c r="D1435" s="46"/>
      <c r="E1435" s="46"/>
      <c r="F1435" s="46"/>
      <c r="G1435" s="46"/>
      <c r="H1435" s="46"/>
      <c r="I1435" s="46"/>
      <c r="J1435" s="46"/>
      <c r="K1435" s="46"/>
      <c r="L1435" s="46"/>
      <c r="M1435" s="46" t="str">
        <f aca="false">IF(OR(B1435="",I1435=""),"",IFERROR(INDEX('Comment flow'!$C$40:$C$46,MATCH(I1435,'Comment flow'!$A$40:$A$46,0)),""))</f>
        <v/>
      </c>
      <c r="N1435" s="46" t="str">
        <f aca="false">IF(B1435="","",IF(OR(I1435="",I1435="Open: needs a decision",L1435=""),"Open","Closed"))</f>
        <v/>
      </c>
      <c r="O1435" s="46"/>
      <c r="P1435" s="46" t="str">
        <f aca="false">IF(OR(B1435="",I1435&lt;&gt;"Save for a later revision"),"",IF(COUNTIF('Deferred edits'!$K$2:$K$201,A1435)&gt;0,"Yes","● Add to Deferred edits"))</f>
        <v/>
      </c>
    </row>
    <row r="1436" customFormat="false" ht="15" hidden="false" customHeight="false" outlineLevel="0" collapsed="false">
      <c r="A1436" s="46" t="s">
        <v>1731</v>
      </c>
      <c r="B1436" s="46"/>
      <c r="C1436" s="46"/>
      <c r="D1436" s="46"/>
      <c r="E1436" s="46"/>
      <c r="F1436" s="46"/>
      <c r="G1436" s="46"/>
      <c r="H1436" s="46"/>
      <c r="I1436" s="46"/>
      <c r="J1436" s="46"/>
      <c r="K1436" s="46"/>
      <c r="L1436" s="46"/>
      <c r="M1436" s="46" t="str">
        <f aca="false">IF(OR(B1436="",I1436=""),"",IFERROR(INDEX('Comment flow'!$C$40:$C$46,MATCH(I1436,'Comment flow'!$A$40:$A$46,0)),""))</f>
        <v/>
      </c>
      <c r="N1436" s="46" t="str">
        <f aca="false">IF(B1436="","",IF(OR(I1436="",I1436="Open: needs a decision",L1436=""),"Open","Closed"))</f>
        <v/>
      </c>
      <c r="O1436" s="46"/>
      <c r="P1436" s="46" t="str">
        <f aca="false">IF(OR(B1436="",I1436&lt;&gt;"Save for a later revision"),"",IF(COUNTIF('Deferred edits'!$K$2:$K$201,A1436)&gt;0,"Yes","● Add to Deferred edits"))</f>
        <v/>
      </c>
    </row>
    <row r="1437" customFormat="false" ht="15" hidden="false" customHeight="false" outlineLevel="0" collapsed="false">
      <c r="A1437" s="46" t="s">
        <v>1732</v>
      </c>
      <c r="B1437" s="46"/>
      <c r="C1437" s="46"/>
      <c r="D1437" s="46"/>
      <c r="E1437" s="46"/>
      <c r="F1437" s="46"/>
      <c r="G1437" s="46"/>
      <c r="H1437" s="46"/>
      <c r="I1437" s="46"/>
      <c r="J1437" s="46"/>
      <c r="K1437" s="46"/>
      <c r="L1437" s="46"/>
      <c r="M1437" s="46" t="str">
        <f aca="false">IF(OR(B1437="",I1437=""),"",IFERROR(INDEX('Comment flow'!$C$40:$C$46,MATCH(I1437,'Comment flow'!$A$40:$A$46,0)),""))</f>
        <v/>
      </c>
      <c r="N1437" s="46" t="str">
        <f aca="false">IF(B1437="","",IF(OR(I1437="",I1437="Open: needs a decision",L1437=""),"Open","Closed"))</f>
        <v/>
      </c>
      <c r="O1437" s="46"/>
      <c r="P1437" s="46" t="str">
        <f aca="false">IF(OR(B1437="",I1437&lt;&gt;"Save for a later revision"),"",IF(COUNTIF('Deferred edits'!$K$2:$K$201,A1437)&gt;0,"Yes","● Add to Deferred edits"))</f>
        <v/>
      </c>
    </row>
    <row r="1438" customFormat="false" ht="15" hidden="false" customHeight="false" outlineLevel="0" collapsed="false">
      <c r="A1438" s="46" t="s">
        <v>1733</v>
      </c>
      <c r="B1438" s="46"/>
      <c r="C1438" s="46"/>
      <c r="D1438" s="46"/>
      <c r="E1438" s="46"/>
      <c r="F1438" s="46"/>
      <c r="G1438" s="46"/>
      <c r="H1438" s="46"/>
      <c r="I1438" s="46"/>
      <c r="J1438" s="46"/>
      <c r="K1438" s="46"/>
      <c r="L1438" s="46"/>
      <c r="M1438" s="46" t="str">
        <f aca="false">IF(OR(B1438="",I1438=""),"",IFERROR(INDEX('Comment flow'!$C$40:$C$46,MATCH(I1438,'Comment flow'!$A$40:$A$46,0)),""))</f>
        <v/>
      </c>
      <c r="N1438" s="46" t="str">
        <f aca="false">IF(B1438="","",IF(OR(I1438="",I1438="Open: needs a decision",L1438=""),"Open","Closed"))</f>
        <v/>
      </c>
      <c r="O1438" s="46"/>
      <c r="P1438" s="46" t="str">
        <f aca="false">IF(OR(B1438="",I1438&lt;&gt;"Save for a later revision"),"",IF(COUNTIF('Deferred edits'!$K$2:$K$201,A1438)&gt;0,"Yes","● Add to Deferred edits"))</f>
        <v/>
      </c>
    </row>
    <row r="1439" customFormat="false" ht="15" hidden="false" customHeight="false" outlineLevel="0" collapsed="false">
      <c r="A1439" s="46" t="s">
        <v>1734</v>
      </c>
      <c r="B1439" s="46"/>
      <c r="C1439" s="46"/>
      <c r="D1439" s="46"/>
      <c r="E1439" s="46"/>
      <c r="F1439" s="46"/>
      <c r="G1439" s="46"/>
      <c r="H1439" s="46"/>
      <c r="I1439" s="46"/>
      <c r="J1439" s="46"/>
      <c r="K1439" s="46"/>
      <c r="L1439" s="46"/>
      <c r="M1439" s="46" t="str">
        <f aca="false">IF(OR(B1439="",I1439=""),"",IFERROR(INDEX('Comment flow'!$C$40:$C$46,MATCH(I1439,'Comment flow'!$A$40:$A$46,0)),""))</f>
        <v/>
      </c>
      <c r="N1439" s="46" t="str">
        <f aca="false">IF(B1439="","",IF(OR(I1439="",I1439="Open: needs a decision",L1439=""),"Open","Closed"))</f>
        <v/>
      </c>
      <c r="O1439" s="46"/>
      <c r="P1439" s="46" t="str">
        <f aca="false">IF(OR(B1439="",I1439&lt;&gt;"Save for a later revision"),"",IF(COUNTIF('Deferred edits'!$K$2:$K$201,A1439)&gt;0,"Yes","● Add to Deferred edits"))</f>
        <v/>
      </c>
    </row>
    <row r="1440" customFormat="false" ht="15" hidden="false" customHeight="false" outlineLevel="0" collapsed="false">
      <c r="A1440" s="46" t="s">
        <v>1735</v>
      </c>
      <c r="B1440" s="46"/>
      <c r="C1440" s="46"/>
      <c r="D1440" s="46"/>
      <c r="E1440" s="46"/>
      <c r="F1440" s="46"/>
      <c r="G1440" s="46"/>
      <c r="H1440" s="46"/>
      <c r="I1440" s="46"/>
      <c r="J1440" s="46"/>
      <c r="K1440" s="46"/>
      <c r="L1440" s="46"/>
      <c r="M1440" s="46" t="str">
        <f aca="false">IF(OR(B1440="",I1440=""),"",IFERROR(INDEX('Comment flow'!$C$40:$C$46,MATCH(I1440,'Comment flow'!$A$40:$A$46,0)),""))</f>
        <v/>
      </c>
      <c r="N1440" s="46" t="str">
        <f aca="false">IF(B1440="","",IF(OR(I1440="",I1440="Open: needs a decision",L1440=""),"Open","Closed"))</f>
        <v/>
      </c>
      <c r="O1440" s="46"/>
      <c r="P1440" s="46" t="str">
        <f aca="false">IF(OR(B1440="",I1440&lt;&gt;"Save for a later revision"),"",IF(COUNTIF('Deferred edits'!$K$2:$K$201,A1440)&gt;0,"Yes","● Add to Deferred edits"))</f>
        <v/>
      </c>
    </row>
    <row r="1441" customFormat="false" ht="15" hidden="false" customHeight="false" outlineLevel="0" collapsed="false">
      <c r="A1441" s="46" t="s">
        <v>1736</v>
      </c>
      <c r="B1441" s="46"/>
      <c r="C1441" s="46"/>
      <c r="D1441" s="46"/>
      <c r="E1441" s="46"/>
      <c r="F1441" s="46"/>
      <c r="G1441" s="46"/>
      <c r="H1441" s="46"/>
      <c r="I1441" s="46"/>
      <c r="J1441" s="46"/>
      <c r="K1441" s="46"/>
      <c r="L1441" s="46"/>
      <c r="M1441" s="46" t="str">
        <f aca="false">IF(OR(B1441="",I1441=""),"",IFERROR(INDEX('Comment flow'!$C$40:$C$46,MATCH(I1441,'Comment flow'!$A$40:$A$46,0)),""))</f>
        <v/>
      </c>
      <c r="N1441" s="46" t="str">
        <f aca="false">IF(B1441="","",IF(OR(I1441="",I1441="Open: needs a decision",L1441=""),"Open","Closed"))</f>
        <v/>
      </c>
      <c r="O1441" s="46"/>
      <c r="P1441" s="46" t="str">
        <f aca="false">IF(OR(B1441="",I1441&lt;&gt;"Save for a later revision"),"",IF(COUNTIF('Deferred edits'!$K$2:$K$201,A1441)&gt;0,"Yes","● Add to Deferred edits"))</f>
        <v/>
      </c>
    </row>
    <row r="1442" customFormat="false" ht="15" hidden="false" customHeight="false" outlineLevel="0" collapsed="false">
      <c r="A1442" s="46" t="s">
        <v>1737</v>
      </c>
      <c r="B1442" s="46"/>
      <c r="C1442" s="46"/>
      <c r="D1442" s="46"/>
      <c r="E1442" s="46"/>
      <c r="F1442" s="46"/>
      <c r="G1442" s="46"/>
      <c r="H1442" s="46"/>
      <c r="I1442" s="46"/>
      <c r="J1442" s="46"/>
      <c r="K1442" s="46"/>
      <c r="L1442" s="46"/>
      <c r="M1442" s="46" t="str">
        <f aca="false">IF(OR(B1442="",I1442=""),"",IFERROR(INDEX('Comment flow'!$C$40:$C$46,MATCH(I1442,'Comment flow'!$A$40:$A$46,0)),""))</f>
        <v/>
      </c>
      <c r="N1442" s="46" t="str">
        <f aca="false">IF(B1442="","",IF(OR(I1442="",I1442="Open: needs a decision",L1442=""),"Open","Closed"))</f>
        <v/>
      </c>
      <c r="O1442" s="46"/>
      <c r="P1442" s="46" t="str">
        <f aca="false">IF(OR(B1442="",I1442&lt;&gt;"Save for a later revision"),"",IF(COUNTIF('Deferred edits'!$K$2:$K$201,A1442)&gt;0,"Yes","● Add to Deferred edits"))</f>
        <v/>
      </c>
    </row>
    <row r="1443" customFormat="false" ht="15" hidden="false" customHeight="false" outlineLevel="0" collapsed="false">
      <c r="A1443" s="46" t="s">
        <v>1738</v>
      </c>
      <c r="B1443" s="46"/>
      <c r="C1443" s="46"/>
      <c r="D1443" s="46"/>
      <c r="E1443" s="46"/>
      <c r="F1443" s="46"/>
      <c r="G1443" s="46"/>
      <c r="H1443" s="46"/>
      <c r="I1443" s="46"/>
      <c r="J1443" s="46"/>
      <c r="K1443" s="46"/>
      <c r="L1443" s="46"/>
      <c r="M1443" s="46" t="str">
        <f aca="false">IF(OR(B1443="",I1443=""),"",IFERROR(INDEX('Comment flow'!$C$40:$C$46,MATCH(I1443,'Comment flow'!$A$40:$A$46,0)),""))</f>
        <v/>
      </c>
      <c r="N1443" s="46" t="str">
        <f aca="false">IF(B1443="","",IF(OR(I1443="",I1443="Open: needs a decision",L1443=""),"Open","Closed"))</f>
        <v/>
      </c>
      <c r="O1443" s="46"/>
      <c r="P1443" s="46" t="str">
        <f aca="false">IF(OR(B1443="",I1443&lt;&gt;"Save for a later revision"),"",IF(COUNTIF('Deferred edits'!$K$2:$K$201,A1443)&gt;0,"Yes","● Add to Deferred edits"))</f>
        <v/>
      </c>
    </row>
    <row r="1444" customFormat="false" ht="15" hidden="false" customHeight="false" outlineLevel="0" collapsed="false">
      <c r="A1444" s="46" t="s">
        <v>1739</v>
      </c>
      <c r="B1444" s="46"/>
      <c r="C1444" s="46"/>
      <c r="D1444" s="46"/>
      <c r="E1444" s="46"/>
      <c r="F1444" s="46"/>
      <c r="G1444" s="46"/>
      <c r="H1444" s="46"/>
      <c r="I1444" s="46"/>
      <c r="J1444" s="46"/>
      <c r="K1444" s="46"/>
      <c r="L1444" s="46"/>
      <c r="M1444" s="46" t="str">
        <f aca="false">IF(OR(B1444="",I1444=""),"",IFERROR(INDEX('Comment flow'!$C$40:$C$46,MATCH(I1444,'Comment flow'!$A$40:$A$46,0)),""))</f>
        <v/>
      </c>
      <c r="N1444" s="46" t="str">
        <f aca="false">IF(B1444="","",IF(OR(I1444="",I1444="Open: needs a decision",L1444=""),"Open","Closed"))</f>
        <v/>
      </c>
      <c r="O1444" s="46"/>
      <c r="P1444" s="46" t="str">
        <f aca="false">IF(OR(B1444="",I1444&lt;&gt;"Save for a later revision"),"",IF(COUNTIF('Deferred edits'!$K$2:$K$201,A1444)&gt;0,"Yes","● Add to Deferred edits"))</f>
        <v/>
      </c>
    </row>
    <row r="1445" customFormat="false" ht="15" hidden="false" customHeight="false" outlineLevel="0" collapsed="false">
      <c r="A1445" s="46" t="s">
        <v>1740</v>
      </c>
      <c r="B1445" s="46"/>
      <c r="C1445" s="46"/>
      <c r="D1445" s="46"/>
      <c r="E1445" s="46"/>
      <c r="F1445" s="46"/>
      <c r="G1445" s="46"/>
      <c r="H1445" s="46"/>
      <c r="I1445" s="46"/>
      <c r="J1445" s="46"/>
      <c r="K1445" s="46"/>
      <c r="L1445" s="46"/>
      <c r="M1445" s="46" t="str">
        <f aca="false">IF(OR(B1445="",I1445=""),"",IFERROR(INDEX('Comment flow'!$C$40:$C$46,MATCH(I1445,'Comment flow'!$A$40:$A$46,0)),""))</f>
        <v/>
      </c>
      <c r="N1445" s="46" t="str">
        <f aca="false">IF(B1445="","",IF(OR(I1445="",I1445="Open: needs a decision",L1445=""),"Open","Closed"))</f>
        <v/>
      </c>
      <c r="O1445" s="46"/>
      <c r="P1445" s="46" t="str">
        <f aca="false">IF(OR(B1445="",I1445&lt;&gt;"Save for a later revision"),"",IF(COUNTIF('Deferred edits'!$K$2:$K$201,A1445)&gt;0,"Yes","● Add to Deferred edits"))</f>
        <v/>
      </c>
    </row>
    <row r="1446" customFormat="false" ht="15" hidden="false" customHeight="false" outlineLevel="0" collapsed="false">
      <c r="A1446" s="46" t="s">
        <v>1741</v>
      </c>
      <c r="B1446" s="46"/>
      <c r="C1446" s="46"/>
      <c r="D1446" s="46"/>
      <c r="E1446" s="46"/>
      <c r="F1446" s="46"/>
      <c r="G1446" s="46"/>
      <c r="H1446" s="46"/>
      <c r="I1446" s="46"/>
      <c r="J1446" s="46"/>
      <c r="K1446" s="46"/>
      <c r="L1446" s="46"/>
      <c r="M1446" s="46" t="str">
        <f aca="false">IF(OR(B1446="",I1446=""),"",IFERROR(INDEX('Comment flow'!$C$40:$C$46,MATCH(I1446,'Comment flow'!$A$40:$A$46,0)),""))</f>
        <v/>
      </c>
      <c r="N1446" s="46" t="str">
        <f aca="false">IF(B1446="","",IF(OR(I1446="",I1446="Open: needs a decision",L1446=""),"Open","Closed"))</f>
        <v/>
      </c>
      <c r="O1446" s="46"/>
      <c r="P1446" s="46" t="str">
        <f aca="false">IF(OR(B1446="",I1446&lt;&gt;"Save for a later revision"),"",IF(COUNTIF('Deferred edits'!$K$2:$K$201,A1446)&gt;0,"Yes","● Add to Deferred edits"))</f>
        <v/>
      </c>
    </row>
    <row r="1447" customFormat="false" ht="15" hidden="false" customHeight="false" outlineLevel="0" collapsed="false">
      <c r="A1447" s="46" t="s">
        <v>1742</v>
      </c>
      <c r="B1447" s="46"/>
      <c r="C1447" s="46"/>
      <c r="D1447" s="46"/>
      <c r="E1447" s="46"/>
      <c r="F1447" s="46"/>
      <c r="G1447" s="46"/>
      <c r="H1447" s="46"/>
      <c r="I1447" s="46"/>
      <c r="J1447" s="46"/>
      <c r="K1447" s="46"/>
      <c r="L1447" s="46"/>
      <c r="M1447" s="46" t="str">
        <f aca="false">IF(OR(B1447="",I1447=""),"",IFERROR(INDEX('Comment flow'!$C$40:$C$46,MATCH(I1447,'Comment flow'!$A$40:$A$46,0)),""))</f>
        <v/>
      </c>
      <c r="N1447" s="46" t="str">
        <f aca="false">IF(B1447="","",IF(OR(I1447="",I1447="Open: needs a decision",L1447=""),"Open","Closed"))</f>
        <v/>
      </c>
      <c r="O1447" s="46"/>
      <c r="P1447" s="46" t="str">
        <f aca="false">IF(OR(B1447="",I1447&lt;&gt;"Save for a later revision"),"",IF(COUNTIF('Deferred edits'!$K$2:$K$201,A1447)&gt;0,"Yes","● Add to Deferred edits"))</f>
        <v/>
      </c>
    </row>
    <row r="1448" customFormat="false" ht="15" hidden="false" customHeight="false" outlineLevel="0" collapsed="false">
      <c r="A1448" s="46" t="s">
        <v>1743</v>
      </c>
      <c r="B1448" s="46"/>
      <c r="C1448" s="46"/>
      <c r="D1448" s="46"/>
      <c r="E1448" s="46"/>
      <c r="F1448" s="46"/>
      <c r="G1448" s="46"/>
      <c r="H1448" s="46"/>
      <c r="I1448" s="46"/>
      <c r="J1448" s="46"/>
      <c r="K1448" s="46"/>
      <c r="L1448" s="46"/>
      <c r="M1448" s="46" t="str">
        <f aca="false">IF(OR(B1448="",I1448=""),"",IFERROR(INDEX('Comment flow'!$C$40:$C$46,MATCH(I1448,'Comment flow'!$A$40:$A$46,0)),""))</f>
        <v/>
      </c>
      <c r="N1448" s="46" t="str">
        <f aca="false">IF(B1448="","",IF(OR(I1448="",I1448="Open: needs a decision",L1448=""),"Open","Closed"))</f>
        <v/>
      </c>
      <c r="O1448" s="46"/>
      <c r="P1448" s="46" t="str">
        <f aca="false">IF(OR(B1448="",I1448&lt;&gt;"Save for a later revision"),"",IF(COUNTIF('Deferred edits'!$K$2:$K$201,A1448)&gt;0,"Yes","● Add to Deferred edits"))</f>
        <v/>
      </c>
    </row>
    <row r="1449" customFormat="false" ht="15" hidden="false" customHeight="false" outlineLevel="0" collapsed="false">
      <c r="A1449" s="46" t="s">
        <v>1744</v>
      </c>
      <c r="B1449" s="46"/>
      <c r="C1449" s="46"/>
      <c r="D1449" s="46"/>
      <c r="E1449" s="46"/>
      <c r="F1449" s="46"/>
      <c r="G1449" s="46"/>
      <c r="H1449" s="46"/>
      <c r="I1449" s="46"/>
      <c r="J1449" s="46"/>
      <c r="K1449" s="46"/>
      <c r="L1449" s="46"/>
      <c r="M1449" s="46" t="str">
        <f aca="false">IF(OR(B1449="",I1449=""),"",IFERROR(INDEX('Comment flow'!$C$40:$C$46,MATCH(I1449,'Comment flow'!$A$40:$A$46,0)),""))</f>
        <v/>
      </c>
      <c r="N1449" s="46" t="str">
        <f aca="false">IF(B1449="","",IF(OR(I1449="",I1449="Open: needs a decision",L1449=""),"Open","Closed"))</f>
        <v/>
      </c>
      <c r="O1449" s="46"/>
      <c r="P1449" s="46" t="str">
        <f aca="false">IF(OR(B1449="",I1449&lt;&gt;"Save for a later revision"),"",IF(COUNTIF('Deferred edits'!$K$2:$K$201,A1449)&gt;0,"Yes","● Add to Deferred edits"))</f>
        <v/>
      </c>
    </row>
    <row r="1450" customFormat="false" ht="15" hidden="false" customHeight="false" outlineLevel="0" collapsed="false">
      <c r="A1450" s="46" t="s">
        <v>1745</v>
      </c>
      <c r="B1450" s="46"/>
      <c r="C1450" s="46"/>
      <c r="D1450" s="46"/>
      <c r="E1450" s="46"/>
      <c r="F1450" s="46"/>
      <c r="G1450" s="46"/>
      <c r="H1450" s="46"/>
      <c r="I1450" s="46"/>
      <c r="J1450" s="46"/>
      <c r="K1450" s="46"/>
      <c r="L1450" s="46"/>
      <c r="M1450" s="46" t="str">
        <f aca="false">IF(OR(B1450="",I1450=""),"",IFERROR(INDEX('Comment flow'!$C$40:$C$46,MATCH(I1450,'Comment flow'!$A$40:$A$46,0)),""))</f>
        <v/>
      </c>
      <c r="N1450" s="46" t="str">
        <f aca="false">IF(B1450="","",IF(OR(I1450="",I1450="Open: needs a decision",L1450=""),"Open","Closed"))</f>
        <v/>
      </c>
      <c r="O1450" s="46"/>
      <c r="P1450" s="46" t="str">
        <f aca="false">IF(OR(B1450="",I1450&lt;&gt;"Save for a later revision"),"",IF(COUNTIF('Deferred edits'!$K$2:$K$201,A1450)&gt;0,"Yes","● Add to Deferred edits"))</f>
        <v/>
      </c>
    </row>
    <row r="1451" customFormat="false" ht="15" hidden="false" customHeight="false" outlineLevel="0" collapsed="false">
      <c r="A1451" s="46" t="s">
        <v>1746</v>
      </c>
      <c r="B1451" s="46"/>
      <c r="C1451" s="46"/>
      <c r="D1451" s="46"/>
      <c r="E1451" s="46"/>
      <c r="F1451" s="46"/>
      <c r="G1451" s="46"/>
      <c r="H1451" s="46"/>
      <c r="I1451" s="46"/>
      <c r="J1451" s="46"/>
      <c r="K1451" s="46"/>
      <c r="L1451" s="46"/>
      <c r="M1451" s="46" t="str">
        <f aca="false">IF(OR(B1451="",I1451=""),"",IFERROR(INDEX('Comment flow'!$C$40:$C$46,MATCH(I1451,'Comment flow'!$A$40:$A$46,0)),""))</f>
        <v/>
      </c>
      <c r="N1451" s="46" t="str">
        <f aca="false">IF(B1451="","",IF(OR(I1451="",I1451="Open: needs a decision",L1451=""),"Open","Closed"))</f>
        <v/>
      </c>
      <c r="O1451" s="46"/>
      <c r="P1451" s="46" t="str">
        <f aca="false">IF(OR(B1451="",I1451&lt;&gt;"Save for a later revision"),"",IF(COUNTIF('Deferred edits'!$K$2:$K$201,A1451)&gt;0,"Yes","● Add to Deferred edits"))</f>
        <v/>
      </c>
    </row>
    <row r="1452" customFormat="false" ht="15" hidden="false" customHeight="false" outlineLevel="0" collapsed="false">
      <c r="A1452" s="46" t="s">
        <v>1747</v>
      </c>
      <c r="B1452" s="46"/>
      <c r="C1452" s="46"/>
      <c r="D1452" s="46"/>
      <c r="E1452" s="46"/>
      <c r="F1452" s="46"/>
      <c r="G1452" s="46"/>
      <c r="H1452" s="46"/>
      <c r="I1452" s="46"/>
      <c r="J1452" s="46"/>
      <c r="K1452" s="46"/>
      <c r="L1452" s="46"/>
      <c r="M1452" s="46" t="str">
        <f aca="false">IF(OR(B1452="",I1452=""),"",IFERROR(INDEX('Comment flow'!$C$40:$C$46,MATCH(I1452,'Comment flow'!$A$40:$A$46,0)),""))</f>
        <v/>
      </c>
      <c r="N1452" s="46" t="str">
        <f aca="false">IF(B1452="","",IF(OR(I1452="",I1452="Open: needs a decision",L1452=""),"Open","Closed"))</f>
        <v/>
      </c>
      <c r="O1452" s="46"/>
      <c r="P1452" s="46" t="str">
        <f aca="false">IF(OR(B1452="",I1452&lt;&gt;"Save for a later revision"),"",IF(COUNTIF('Deferred edits'!$K$2:$K$201,A1452)&gt;0,"Yes","● Add to Deferred edits"))</f>
        <v/>
      </c>
    </row>
    <row r="1453" customFormat="false" ht="15" hidden="false" customHeight="false" outlineLevel="0" collapsed="false">
      <c r="A1453" s="46" t="s">
        <v>1748</v>
      </c>
      <c r="B1453" s="46"/>
      <c r="C1453" s="46"/>
      <c r="D1453" s="46"/>
      <c r="E1453" s="46"/>
      <c r="F1453" s="46"/>
      <c r="G1453" s="46"/>
      <c r="H1453" s="46"/>
      <c r="I1453" s="46"/>
      <c r="J1453" s="46"/>
      <c r="K1453" s="46"/>
      <c r="L1453" s="46"/>
      <c r="M1453" s="46" t="str">
        <f aca="false">IF(OR(B1453="",I1453=""),"",IFERROR(INDEX('Comment flow'!$C$40:$C$46,MATCH(I1453,'Comment flow'!$A$40:$A$46,0)),""))</f>
        <v/>
      </c>
      <c r="N1453" s="46" t="str">
        <f aca="false">IF(B1453="","",IF(OR(I1453="",I1453="Open: needs a decision",L1453=""),"Open","Closed"))</f>
        <v/>
      </c>
      <c r="O1453" s="46"/>
      <c r="P1453" s="46" t="str">
        <f aca="false">IF(OR(B1453="",I1453&lt;&gt;"Save for a later revision"),"",IF(COUNTIF('Deferred edits'!$K$2:$K$201,A1453)&gt;0,"Yes","● Add to Deferred edits"))</f>
        <v/>
      </c>
    </row>
    <row r="1454" customFormat="false" ht="15" hidden="false" customHeight="false" outlineLevel="0" collapsed="false">
      <c r="A1454" s="46" t="s">
        <v>1749</v>
      </c>
      <c r="B1454" s="46"/>
      <c r="C1454" s="46"/>
      <c r="D1454" s="46"/>
      <c r="E1454" s="46"/>
      <c r="F1454" s="46"/>
      <c r="G1454" s="46"/>
      <c r="H1454" s="46"/>
      <c r="I1454" s="46"/>
      <c r="J1454" s="46"/>
      <c r="K1454" s="46"/>
      <c r="L1454" s="46"/>
      <c r="M1454" s="46" t="str">
        <f aca="false">IF(OR(B1454="",I1454=""),"",IFERROR(INDEX('Comment flow'!$C$40:$C$46,MATCH(I1454,'Comment flow'!$A$40:$A$46,0)),""))</f>
        <v/>
      </c>
      <c r="N1454" s="46" t="str">
        <f aca="false">IF(B1454="","",IF(OR(I1454="",I1454="Open: needs a decision",L1454=""),"Open","Closed"))</f>
        <v/>
      </c>
      <c r="O1454" s="46"/>
      <c r="P1454" s="46" t="str">
        <f aca="false">IF(OR(B1454="",I1454&lt;&gt;"Save for a later revision"),"",IF(COUNTIF('Deferred edits'!$K$2:$K$201,A1454)&gt;0,"Yes","● Add to Deferred edits"))</f>
        <v/>
      </c>
    </row>
    <row r="1455" customFormat="false" ht="15" hidden="false" customHeight="false" outlineLevel="0" collapsed="false">
      <c r="A1455" s="46" t="s">
        <v>1750</v>
      </c>
      <c r="B1455" s="46"/>
      <c r="C1455" s="46"/>
      <c r="D1455" s="46"/>
      <c r="E1455" s="46"/>
      <c r="F1455" s="46"/>
      <c r="G1455" s="46"/>
      <c r="H1455" s="46"/>
      <c r="I1455" s="46"/>
      <c r="J1455" s="46"/>
      <c r="K1455" s="46"/>
      <c r="L1455" s="46"/>
      <c r="M1455" s="46" t="str">
        <f aca="false">IF(OR(B1455="",I1455=""),"",IFERROR(INDEX('Comment flow'!$C$40:$C$46,MATCH(I1455,'Comment flow'!$A$40:$A$46,0)),""))</f>
        <v/>
      </c>
      <c r="N1455" s="46" t="str">
        <f aca="false">IF(B1455="","",IF(OR(I1455="",I1455="Open: needs a decision",L1455=""),"Open","Closed"))</f>
        <v/>
      </c>
      <c r="O1455" s="46"/>
      <c r="P1455" s="46" t="str">
        <f aca="false">IF(OR(B1455="",I1455&lt;&gt;"Save for a later revision"),"",IF(COUNTIF('Deferred edits'!$K$2:$K$201,A1455)&gt;0,"Yes","● Add to Deferred edits"))</f>
        <v/>
      </c>
    </row>
    <row r="1456" customFormat="false" ht="15" hidden="false" customHeight="false" outlineLevel="0" collapsed="false">
      <c r="A1456" s="46" t="s">
        <v>1751</v>
      </c>
      <c r="B1456" s="46"/>
      <c r="C1456" s="46"/>
      <c r="D1456" s="46"/>
      <c r="E1456" s="46"/>
      <c r="F1456" s="46"/>
      <c r="G1456" s="46"/>
      <c r="H1456" s="46"/>
      <c r="I1456" s="46"/>
      <c r="J1456" s="46"/>
      <c r="K1456" s="46"/>
      <c r="L1456" s="46"/>
      <c r="M1456" s="46" t="str">
        <f aca="false">IF(OR(B1456="",I1456=""),"",IFERROR(INDEX('Comment flow'!$C$40:$C$46,MATCH(I1456,'Comment flow'!$A$40:$A$46,0)),""))</f>
        <v/>
      </c>
      <c r="N1456" s="46" t="str">
        <f aca="false">IF(B1456="","",IF(OR(I1456="",I1456="Open: needs a decision",L1456=""),"Open","Closed"))</f>
        <v/>
      </c>
      <c r="O1456" s="46"/>
      <c r="P1456" s="46" t="str">
        <f aca="false">IF(OR(B1456="",I1456&lt;&gt;"Save for a later revision"),"",IF(COUNTIF('Deferred edits'!$K$2:$K$201,A1456)&gt;0,"Yes","● Add to Deferred edits"))</f>
        <v/>
      </c>
    </row>
    <row r="1457" customFormat="false" ht="15" hidden="false" customHeight="false" outlineLevel="0" collapsed="false">
      <c r="A1457" s="46" t="s">
        <v>1752</v>
      </c>
      <c r="B1457" s="46"/>
      <c r="C1457" s="46"/>
      <c r="D1457" s="46"/>
      <c r="E1457" s="46"/>
      <c r="F1457" s="46"/>
      <c r="G1457" s="46"/>
      <c r="H1457" s="46"/>
      <c r="I1457" s="46"/>
      <c r="J1457" s="46"/>
      <c r="K1457" s="46"/>
      <c r="L1457" s="46"/>
      <c r="M1457" s="46" t="str">
        <f aca="false">IF(OR(B1457="",I1457=""),"",IFERROR(INDEX('Comment flow'!$C$40:$C$46,MATCH(I1457,'Comment flow'!$A$40:$A$46,0)),""))</f>
        <v/>
      </c>
      <c r="N1457" s="46" t="str">
        <f aca="false">IF(B1457="","",IF(OR(I1457="",I1457="Open: needs a decision",L1457=""),"Open","Closed"))</f>
        <v/>
      </c>
      <c r="O1457" s="46"/>
      <c r="P1457" s="46" t="str">
        <f aca="false">IF(OR(B1457="",I1457&lt;&gt;"Save for a later revision"),"",IF(COUNTIF('Deferred edits'!$K$2:$K$201,A1457)&gt;0,"Yes","● Add to Deferred edits"))</f>
        <v/>
      </c>
    </row>
    <row r="1458" customFormat="false" ht="15" hidden="false" customHeight="false" outlineLevel="0" collapsed="false">
      <c r="A1458" s="46" t="s">
        <v>1753</v>
      </c>
      <c r="B1458" s="46"/>
      <c r="C1458" s="46"/>
      <c r="D1458" s="46"/>
      <c r="E1458" s="46"/>
      <c r="F1458" s="46"/>
      <c r="G1458" s="46"/>
      <c r="H1458" s="46"/>
      <c r="I1458" s="46"/>
      <c r="J1458" s="46"/>
      <c r="K1458" s="46"/>
      <c r="L1458" s="46"/>
      <c r="M1458" s="46" t="str">
        <f aca="false">IF(OR(B1458="",I1458=""),"",IFERROR(INDEX('Comment flow'!$C$40:$C$46,MATCH(I1458,'Comment flow'!$A$40:$A$46,0)),""))</f>
        <v/>
      </c>
      <c r="N1458" s="46" t="str">
        <f aca="false">IF(B1458="","",IF(OR(I1458="",I1458="Open: needs a decision",L1458=""),"Open","Closed"))</f>
        <v/>
      </c>
      <c r="O1458" s="46"/>
      <c r="P1458" s="46" t="str">
        <f aca="false">IF(OR(B1458="",I1458&lt;&gt;"Save for a later revision"),"",IF(COUNTIF('Deferred edits'!$K$2:$K$201,A1458)&gt;0,"Yes","● Add to Deferred edits"))</f>
        <v/>
      </c>
    </row>
    <row r="1459" customFormat="false" ht="15" hidden="false" customHeight="false" outlineLevel="0" collapsed="false">
      <c r="A1459" s="46" t="s">
        <v>1754</v>
      </c>
      <c r="B1459" s="46"/>
      <c r="C1459" s="46"/>
      <c r="D1459" s="46"/>
      <c r="E1459" s="46"/>
      <c r="F1459" s="46"/>
      <c r="G1459" s="46"/>
      <c r="H1459" s="46"/>
      <c r="I1459" s="46"/>
      <c r="J1459" s="46"/>
      <c r="K1459" s="46"/>
      <c r="L1459" s="46"/>
      <c r="M1459" s="46" t="str">
        <f aca="false">IF(OR(B1459="",I1459=""),"",IFERROR(INDEX('Comment flow'!$C$40:$C$46,MATCH(I1459,'Comment flow'!$A$40:$A$46,0)),""))</f>
        <v/>
      </c>
      <c r="N1459" s="46" t="str">
        <f aca="false">IF(B1459="","",IF(OR(I1459="",I1459="Open: needs a decision",L1459=""),"Open","Closed"))</f>
        <v/>
      </c>
      <c r="O1459" s="46"/>
      <c r="P1459" s="46" t="str">
        <f aca="false">IF(OR(B1459="",I1459&lt;&gt;"Save for a later revision"),"",IF(COUNTIF('Deferred edits'!$K$2:$K$201,A1459)&gt;0,"Yes","● Add to Deferred edits"))</f>
        <v/>
      </c>
    </row>
    <row r="1460" customFormat="false" ht="15" hidden="false" customHeight="false" outlineLevel="0" collapsed="false">
      <c r="A1460" s="46" t="s">
        <v>1755</v>
      </c>
      <c r="B1460" s="46"/>
      <c r="C1460" s="46"/>
      <c r="D1460" s="46"/>
      <c r="E1460" s="46"/>
      <c r="F1460" s="46"/>
      <c r="G1460" s="46"/>
      <c r="H1460" s="46"/>
      <c r="I1460" s="46"/>
      <c r="J1460" s="46"/>
      <c r="K1460" s="46"/>
      <c r="L1460" s="46"/>
      <c r="M1460" s="46" t="str">
        <f aca="false">IF(OR(B1460="",I1460=""),"",IFERROR(INDEX('Comment flow'!$C$40:$C$46,MATCH(I1460,'Comment flow'!$A$40:$A$46,0)),""))</f>
        <v/>
      </c>
      <c r="N1460" s="46" t="str">
        <f aca="false">IF(B1460="","",IF(OR(I1460="",I1460="Open: needs a decision",L1460=""),"Open","Closed"))</f>
        <v/>
      </c>
      <c r="O1460" s="46"/>
      <c r="P1460" s="46" t="str">
        <f aca="false">IF(OR(B1460="",I1460&lt;&gt;"Save for a later revision"),"",IF(COUNTIF('Deferred edits'!$K$2:$K$201,A1460)&gt;0,"Yes","● Add to Deferred edits"))</f>
        <v/>
      </c>
    </row>
    <row r="1461" customFormat="false" ht="15" hidden="false" customHeight="false" outlineLevel="0" collapsed="false">
      <c r="A1461" s="46" t="s">
        <v>1756</v>
      </c>
      <c r="B1461" s="46"/>
      <c r="C1461" s="46"/>
      <c r="D1461" s="46"/>
      <c r="E1461" s="46"/>
      <c r="F1461" s="46"/>
      <c r="G1461" s="46"/>
      <c r="H1461" s="46"/>
      <c r="I1461" s="46"/>
      <c r="J1461" s="46"/>
      <c r="K1461" s="46"/>
      <c r="L1461" s="46"/>
      <c r="M1461" s="46" t="str">
        <f aca="false">IF(OR(B1461="",I1461=""),"",IFERROR(INDEX('Comment flow'!$C$40:$C$46,MATCH(I1461,'Comment flow'!$A$40:$A$46,0)),""))</f>
        <v/>
      </c>
      <c r="N1461" s="46" t="str">
        <f aca="false">IF(B1461="","",IF(OR(I1461="",I1461="Open: needs a decision",L1461=""),"Open","Closed"))</f>
        <v/>
      </c>
      <c r="O1461" s="46"/>
      <c r="P1461" s="46" t="str">
        <f aca="false">IF(OR(B1461="",I1461&lt;&gt;"Save for a later revision"),"",IF(COUNTIF('Deferred edits'!$K$2:$K$201,A1461)&gt;0,"Yes","● Add to Deferred edits"))</f>
        <v/>
      </c>
    </row>
    <row r="1462" customFormat="false" ht="15" hidden="false" customHeight="false" outlineLevel="0" collapsed="false">
      <c r="A1462" s="46" t="s">
        <v>1757</v>
      </c>
      <c r="B1462" s="46"/>
      <c r="C1462" s="46"/>
      <c r="D1462" s="46"/>
      <c r="E1462" s="46"/>
      <c r="F1462" s="46"/>
      <c r="G1462" s="46"/>
      <c r="H1462" s="46"/>
      <c r="I1462" s="46"/>
      <c r="J1462" s="46"/>
      <c r="K1462" s="46"/>
      <c r="L1462" s="46"/>
      <c r="M1462" s="46" t="str">
        <f aca="false">IF(OR(B1462="",I1462=""),"",IFERROR(INDEX('Comment flow'!$C$40:$C$46,MATCH(I1462,'Comment flow'!$A$40:$A$46,0)),""))</f>
        <v/>
      </c>
      <c r="N1462" s="46" t="str">
        <f aca="false">IF(B1462="","",IF(OR(I1462="",I1462="Open: needs a decision",L1462=""),"Open","Closed"))</f>
        <v/>
      </c>
      <c r="O1462" s="46"/>
      <c r="P1462" s="46" t="str">
        <f aca="false">IF(OR(B1462="",I1462&lt;&gt;"Save for a later revision"),"",IF(COUNTIF('Deferred edits'!$K$2:$K$201,A1462)&gt;0,"Yes","● Add to Deferred edits"))</f>
        <v/>
      </c>
    </row>
    <row r="1463" customFormat="false" ht="15" hidden="false" customHeight="false" outlineLevel="0" collapsed="false">
      <c r="A1463" s="46" t="s">
        <v>1758</v>
      </c>
      <c r="B1463" s="46"/>
      <c r="C1463" s="46"/>
      <c r="D1463" s="46"/>
      <c r="E1463" s="46"/>
      <c r="F1463" s="46"/>
      <c r="G1463" s="46"/>
      <c r="H1463" s="46"/>
      <c r="I1463" s="46"/>
      <c r="J1463" s="46"/>
      <c r="K1463" s="46"/>
      <c r="L1463" s="46"/>
      <c r="M1463" s="46" t="str">
        <f aca="false">IF(OR(B1463="",I1463=""),"",IFERROR(INDEX('Comment flow'!$C$40:$C$46,MATCH(I1463,'Comment flow'!$A$40:$A$46,0)),""))</f>
        <v/>
      </c>
      <c r="N1463" s="46" t="str">
        <f aca="false">IF(B1463="","",IF(OR(I1463="",I1463="Open: needs a decision",L1463=""),"Open","Closed"))</f>
        <v/>
      </c>
      <c r="O1463" s="46"/>
      <c r="P1463" s="46" t="str">
        <f aca="false">IF(OR(B1463="",I1463&lt;&gt;"Save for a later revision"),"",IF(COUNTIF('Deferred edits'!$K$2:$K$201,A1463)&gt;0,"Yes","● Add to Deferred edits"))</f>
        <v/>
      </c>
    </row>
    <row r="1464" customFormat="false" ht="15" hidden="false" customHeight="false" outlineLevel="0" collapsed="false">
      <c r="A1464" s="46" t="s">
        <v>1759</v>
      </c>
      <c r="B1464" s="46"/>
      <c r="C1464" s="46"/>
      <c r="D1464" s="46"/>
      <c r="E1464" s="46"/>
      <c r="F1464" s="46"/>
      <c r="G1464" s="46"/>
      <c r="H1464" s="46"/>
      <c r="I1464" s="46"/>
      <c r="J1464" s="46"/>
      <c r="K1464" s="46"/>
      <c r="L1464" s="46"/>
      <c r="M1464" s="46" t="str">
        <f aca="false">IF(OR(B1464="",I1464=""),"",IFERROR(INDEX('Comment flow'!$C$40:$C$46,MATCH(I1464,'Comment flow'!$A$40:$A$46,0)),""))</f>
        <v/>
      </c>
      <c r="N1464" s="46" t="str">
        <f aca="false">IF(B1464="","",IF(OR(I1464="",I1464="Open: needs a decision",L1464=""),"Open","Closed"))</f>
        <v/>
      </c>
      <c r="O1464" s="46"/>
      <c r="P1464" s="46" t="str">
        <f aca="false">IF(OR(B1464="",I1464&lt;&gt;"Save for a later revision"),"",IF(COUNTIF('Deferred edits'!$K$2:$K$201,A1464)&gt;0,"Yes","● Add to Deferred edits"))</f>
        <v/>
      </c>
    </row>
    <row r="1465" customFormat="false" ht="15" hidden="false" customHeight="false" outlineLevel="0" collapsed="false">
      <c r="A1465" s="46" t="s">
        <v>1760</v>
      </c>
      <c r="B1465" s="46"/>
      <c r="C1465" s="46"/>
      <c r="D1465" s="46"/>
      <c r="E1465" s="46"/>
      <c r="F1465" s="46"/>
      <c r="G1465" s="46"/>
      <c r="H1465" s="46"/>
      <c r="I1465" s="46"/>
      <c r="J1465" s="46"/>
      <c r="K1465" s="46"/>
      <c r="L1465" s="46"/>
      <c r="M1465" s="46" t="str">
        <f aca="false">IF(OR(B1465="",I1465=""),"",IFERROR(INDEX('Comment flow'!$C$40:$C$46,MATCH(I1465,'Comment flow'!$A$40:$A$46,0)),""))</f>
        <v/>
      </c>
      <c r="N1465" s="46" t="str">
        <f aca="false">IF(B1465="","",IF(OR(I1465="",I1465="Open: needs a decision",L1465=""),"Open","Closed"))</f>
        <v/>
      </c>
      <c r="O1465" s="46"/>
      <c r="P1465" s="46" t="str">
        <f aca="false">IF(OR(B1465="",I1465&lt;&gt;"Save for a later revision"),"",IF(COUNTIF('Deferred edits'!$K$2:$K$201,A1465)&gt;0,"Yes","● Add to Deferred edits"))</f>
        <v/>
      </c>
    </row>
    <row r="1466" customFormat="false" ht="15" hidden="false" customHeight="false" outlineLevel="0" collapsed="false">
      <c r="A1466" s="46" t="s">
        <v>1761</v>
      </c>
      <c r="B1466" s="46"/>
      <c r="C1466" s="46"/>
      <c r="D1466" s="46"/>
      <c r="E1466" s="46"/>
      <c r="F1466" s="46"/>
      <c r="G1466" s="46"/>
      <c r="H1466" s="46"/>
      <c r="I1466" s="46"/>
      <c r="J1466" s="46"/>
      <c r="K1466" s="46"/>
      <c r="L1466" s="46"/>
      <c r="M1466" s="46" t="str">
        <f aca="false">IF(OR(B1466="",I1466=""),"",IFERROR(INDEX('Comment flow'!$C$40:$C$46,MATCH(I1466,'Comment flow'!$A$40:$A$46,0)),""))</f>
        <v/>
      </c>
      <c r="N1466" s="46" t="str">
        <f aca="false">IF(B1466="","",IF(OR(I1466="",I1466="Open: needs a decision",L1466=""),"Open","Closed"))</f>
        <v/>
      </c>
      <c r="O1466" s="46"/>
      <c r="P1466" s="46" t="str">
        <f aca="false">IF(OR(B1466="",I1466&lt;&gt;"Save for a later revision"),"",IF(COUNTIF('Deferred edits'!$K$2:$K$201,A1466)&gt;0,"Yes","● Add to Deferred edits"))</f>
        <v/>
      </c>
    </row>
    <row r="1467" customFormat="false" ht="15" hidden="false" customHeight="false" outlineLevel="0" collapsed="false">
      <c r="A1467" s="46" t="s">
        <v>1762</v>
      </c>
      <c r="B1467" s="46"/>
      <c r="C1467" s="46"/>
      <c r="D1467" s="46"/>
      <c r="E1467" s="46"/>
      <c r="F1467" s="46"/>
      <c r="G1467" s="46"/>
      <c r="H1467" s="46"/>
      <c r="I1467" s="46"/>
      <c r="J1467" s="46"/>
      <c r="K1467" s="46"/>
      <c r="L1467" s="46"/>
      <c r="M1467" s="46" t="str">
        <f aca="false">IF(OR(B1467="",I1467=""),"",IFERROR(INDEX('Comment flow'!$C$40:$C$46,MATCH(I1467,'Comment flow'!$A$40:$A$46,0)),""))</f>
        <v/>
      </c>
      <c r="N1467" s="46" t="str">
        <f aca="false">IF(B1467="","",IF(OR(I1467="",I1467="Open: needs a decision",L1467=""),"Open","Closed"))</f>
        <v/>
      </c>
      <c r="O1467" s="46"/>
      <c r="P1467" s="46" t="str">
        <f aca="false">IF(OR(B1467="",I1467&lt;&gt;"Save for a later revision"),"",IF(COUNTIF('Deferred edits'!$K$2:$K$201,A1467)&gt;0,"Yes","● Add to Deferred edits"))</f>
        <v/>
      </c>
    </row>
    <row r="1468" customFormat="false" ht="15" hidden="false" customHeight="false" outlineLevel="0" collapsed="false">
      <c r="A1468" s="46" t="s">
        <v>1763</v>
      </c>
      <c r="B1468" s="46"/>
      <c r="C1468" s="46"/>
      <c r="D1468" s="46"/>
      <c r="E1468" s="46"/>
      <c r="F1468" s="46"/>
      <c r="G1468" s="46"/>
      <c r="H1468" s="46"/>
      <c r="I1468" s="46"/>
      <c r="J1468" s="46"/>
      <c r="K1468" s="46"/>
      <c r="L1468" s="46"/>
      <c r="M1468" s="46" t="str">
        <f aca="false">IF(OR(B1468="",I1468=""),"",IFERROR(INDEX('Comment flow'!$C$40:$C$46,MATCH(I1468,'Comment flow'!$A$40:$A$46,0)),""))</f>
        <v/>
      </c>
      <c r="N1468" s="46" t="str">
        <f aca="false">IF(B1468="","",IF(OR(I1468="",I1468="Open: needs a decision",L1468=""),"Open","Closed"))</f>
        <v/>
      </c>
      <c r="O1468" s="46"/>
      <c r="P1468" s="46" t="str">
        <f aca="false">IF(OR(B1468="",I1468&lt;&gt;"Save for a later revision"),"",IF(COUNTIF('Deferred edits'!$K$2:$K$201,A1468)&gt;0,"Yes","● Add to Deferred edits"))</f>
        <v/>
      </c>
    </row>
    <row r="1469" customFormat="false" ht="15" hidden="false" customHeight="false" outlineLevel="0" collapsed="false">
      <c r="A1469" s="46" t="s">
        <v>1764</v>
      </c>
      <c r="B1469" s="46"/>
      <c r="C1469" s="46"/>
      <c r="D1469" s="46"/>
      <c r="E1469" s="46"/>
      <c r="F1469" s="46"/>
      <c r="G1469" s="46"/>
      <c r="H1469" s="46"/>
      <c r="I1469" s="46"/>
      <c r="J1469" s="46"/>
      <c r="K1469" s="46"/>
      <c r="L1469" s="46"/>
      <c r="M1469" s="46" t="str">
        <f aca="false">IF(OR(B1469="",I1469=""),"",IFERROR(INDEX('Comment flow'!$C$40:$C$46,MATCH(I1469,'Comment flow'!$A$40:$A$46,0)),""))</f>
        <v/>
      </c>
      <c r="N1469" s="46" t="str">
        <f aca="false">IF(B1469="","",IF(OR(I1469="",I1469="Open: needs a decision",L1469=""),"Open","Closed"))</f>
        <v/>
      </c>
      <c r="O1469" s="46"/>
      <c r="P1469" s="46" t="str">
        <f aca="false">IF(OR(B1469="",I1469&lt;&gt;"Save for a later revision"),"",IF(COUNTIF('Deferred edits'!$K$2:$K$201,A1469)&gt;0,"Yes","● Add to Deferred edits"))</f>
        <v/>
      </c>
    </row>
    <row r="1470" customFormat="false" ht="15" hidden="false" customHeight="false" outlineLevel="0" collapsed="false">
      <c r="A1470" s="46" t="s">
        <v>1765</v>
      </c>
      <c r="B1470" s="46"/>
      <c r="C1470" s="46"/>
      <c r="D1470" s="46"/>
      <c r="E1470" s="46"/>
      <c r="F1470" s="46"/>
      <c r="G1470" s="46"/>
      <c r="H1470" s="46"/>
      <c r="I1470" s="46"/>
      <c r="J1470" s="46"/>
      <c r="K1470" s="46"/>
      <c r="L1470" s="46"/>
      <c r="M1470" s="46" t="str">
        <f aca="false">IF(OR(B1470="",I1470=""),"",IFERROR(INDEX('Comment flow'!$C$40:$C$46,MATCH(I1470,'Comment flow'!$A$40:$A$46,0)),""))</f>
        <v/>
      </c>
      <c r="N1470" s="46" t="str">
        <f aca="false">IF(B1470="","",IF(OR(I1470="",I1470="Open: needs a decision",L1470=""),"Open","Closed"))</f>
        <v/>
      </c>
      <c r="O1470" s="46"/>
      <c r="P1470" s="46" t="str">
        <f aca="false">IF(OR(B1470="",I1470&lt;&gt;"Save for a later revision"),"",IF(COUNTIF('Deferred edits'!$K$2:$K$201,A1470)&gt;0,"Yes","● Add to Deferred edits"))</f>
        <v/>
      </c>
    </row>
    <row r="1471" customFormat="false" ht="15" hidden="false" customHeight="false" outlineLevel="0" collapsed="false">
      <c r="A1471" s="46" t="s">
        <v>1766</v>
      </c>
      <c r="B1471" s="46"/>
      <c r="C1471" s="46"/>
      <c r="D1471" s="46"/>
      <c r="E1471" s="46"/>
      <c r="F1471" s="46"/>
      <c r="G1471" s="46"/>
      <c r="H1471" s="46"/>
      <c r="I1471" s="46"/>
      <c r="J1471" s="46"/>
      <c r="K1471" s="46"/>
      <c r="L1471" s="46"/>
      <c r="M1471" s="46" t="str">
        <f aca="false">IF(OR(B1471="",I1471=""),"",IFERROR(INDEX('Comment flow'!$C$40:$C$46,MATCH(I1471,'Comment flow'!$A$40:$A$46,0)),""))</f>
        <v/>
      </c>
      <c r="N1471" s="46" t="str">
        <f aca="false">IF(B1471="","",IF(OR(I1471="",I1471="Open: needs a decision",L1471=""),"Open","Closed"))</f>
        <v/>
      </c>
      <c r="O1471" s="46"/>
      <c r="P1471" s="46" t="str">
        <f aca="false">IF(OR(B1471="",I1471&lt;&gt;"Save for a later revision"),"",IF(COUNTIF('Deferred edits'!$K$2:$K$201,A1471)&gt;0,"Yes","● Add to Deferred edits"))</f>
        <v/>
      </c>
    </row>
    <row r="1472" customFormat="false" ht="15" hidden="false" customHeight="false" outlineLevel="0" collapsed="false">
      <c r="A1472" s="46" t="s">
        <v>1767</v>
      </c>
      <c r="B1472" s="46"/>
      <c r="C1472" s="46"/>
      <c r="D1472" s="46"/>
      <c r="E1472" s="46"/>
      <c r="F1472" s="46"/>
      <c r="G1472" s="46"/>
      <c r="H1472" s="46"/>
      <c r="I1472" s="46"/>
      <c r="J1472" s="46"/>
      <c r="K1472" s="46"/>
      <c r="L1472" s="46"/>
      <c r="M1472" s="46" t="str">
        <f aca="false">IF(OR(B1472="",I1472=""),"",IFERROR(INDEX('Comment flow'!$C$40:$C$46,MATCH(I1472,'Comment flow'!$A$40:$A$46,0)),""))</f>
        <v/>
      </c>
      <c r="N1472" s="46" t="str">
        <f aca="false">IF(B1472="","",IF(OR(I1472="",I1472="Open: needs a decision",L1472=""),"Open","Closed"))</f>
        <v/>
      </c>
      <c r="O1472" s="46"/>
      <c r="P1472" s="46" t="str">
        <f aca="false">IF(OR(B1472="",I1472&lt;&gt;"Save for a later revision"),"",IF(COUNTIF('Deferred edits'!$K$2:$K$201,A1472)&gt;0,"Yes","● Add to Deferred edits"))</f>
        <v/>
      </c>
    </row>
    <row r="1473" customFormat="false" ht="15" hidden="false" customHeight="false" outlineLevel="0" collapsed="false">
      <c r="A1473" s="46" t="s">
        <v>1768</v>
      </c>
      <c r="B1473" s="46"/>
      <c r="C1473" s="46"/>
      <c r="D1473" s="46"/>
      <c r="E1473" s="46"/>
      <c r="F1473" s="46"/>
      <c r="G1473" s="46"/>
      <c r="H1473" s="46"/>
      <c r="I1473" s="46"/>
      <c r="J1473" s="46"/>
      <c r="K1473" s="46"/>
      <c r="L1473" s="46"/>
      <c r="M1473" s="46" t="str">
        <f aca="false">IF(OR(B1473="",I1473=""),"",IFERROR(INDEX('Comment flow'!$C$40:$C$46,MATCH(I1473,'Comment flow'!$A$40:$A$46,0)),""))</f>
        <v/>
      </c>
      <c r="N1473" s="46" t="str">
        <f aca="false">IF(B1473="","",IF(OR(I1473="",I1473="Open: needs a decision",L1473=""),"Open","Closed"))</f>
        <v/>
      </c>
      <c r="O1473" s="46"/>
      <c r="P1473" s="46" t="str">
        <f aca="false">IF(OR(B1473="",I1473&lt;&gt;"Save for a later revision"),"",IF(COUNTIF('Deferred edits'!$K$2:$K$201,A1473)&gt;0,"Yes","● Add to Deferred edits"))</f>
        <v/>
      </c>
    </row>
    <row r="1474" customFormat="false" ht="15" hidden="false" customHeight="false" outlineLevel="0" collapsed="false">
      <c r="A1474" s="46" t="s">
        <v>1769</v>
      </c>
      <c r="B1474" s="46"/>
      <c r="C1474" s="46"/>
      <c r="D1474" s="46"/>
      <c r="E1474" s="46"/>
      <c r="F1474" s="46"/>
      <c r="G1474" s="46"/>
      <c r="H1474" s="46"/>
      <c r="I1474" s="46"/>
      <c r="J1474" s="46"/>
      <c r="K1474" s="46"/>
      <c r="L1474" s="46"/>
      <c r="M1474" s="46" t="str">
        <f aca="false">IF(OR(B1474="",I1474=""),"",IFERROR(INDEX('Comment flow'!$C$40:$C$46,MATCH(I1474,'Comment flow'!$A$40:$A$46,0)),""))</f>
        <v/>
      </c>
      <c r="N1474" s="46" t="str">
        <f aca="false">IF(B1474="","",IF(OR(I1474="",I1474="Open: needs a decision",L1474=""),"Open","Closed"))</f>
        <v/>
      </c>
      <c r="O1474" s="46"/>
      <c r="P1474" s="46" t="str">
        <f aca="false">IF(OR(B1474="",I1474&lt;&gt;"Save for a later revision"),"",IF(COUNTIF('Deferred edits'!$K$2:$K$201,A1474)&gt;0,"Yes","● Add to Deferred edits"))</f>
        <v/>
      </c>
    </row>
    <row r="1475" customFormat="false" ht="15" hidden="false" customHeight="false" outlineLevel="0" collapsed="false">
      <c r="A1475" s="46" t="s">
        <v>1770</v>
      </c>
      <c r="B1475" s="46"/>
      <c r="C1475" s="46"/>
      <c r="D1475" s="46"/>
      <c r="E1475" s="46"/>
      <c r="F1475" s="46"/>
      <c r="G1475" s="46"/>
      <c r="H1475" s="46"/>
      <c r="I1475" s="46"/>
      <c r="J1475" s="46"/>
      <c r="K1475" s="46"/>
      <c r="L1475" s="46"/>
      <c r="M1475" s="46" t="str">
        <f aca="false">IF(OR(B1475="",I1475=""),"",IFERROR(INDEX('Comment flow'!$C$40:$C$46,MATCH(I1475,'Comment flow'!$A$40:$A$46,0)),""))</f>
        <v/>
      </c>
      <c r="N1475" s="46" t="str">
        <f aca="false">IF(B1475="","",IF(OR(I1475="",I1475="Open: needs a decision",L1475=""),"Open","Closed"))</f>
        <v/>
      </c>
      <c r="O1475" s="46"/>
      <c r="P1475" s="46" t="str">
        <f aca="false">IF(OR(B1475="",I1475&lt;&gt;"Save for a later revision"),"",IF(COUNTIF('Deferred edits'!$K$2:$K$201,A1475)&gt;0,"Yes","● Add to Deferred edits"))</f>
        <v/>
      </c>
    </row>
    <row r="1476" customFormat="false" ht="15" hidden="false" customHeight="false" outlineLevel="0" collapsed="false">
      <c r="A1476" s="46" t="s">
        <v>1771</v>
      </c>
      <c r="B1476" s="46"/>
      <c r="C1476" s="46"/>
      <c r="D1476" s="46"/>
      <c r="E1476" s="46"/>
      <c r="F1476" s="46"/>
      <c r="G1476" s="46"/>
      <c r="H1476" s="46"/>
      <c r="I1476" s="46"/>
      <c r="J1476" s="46"/>
      <c r="K1476" s="46"/>
      <c r="L1476" s="46"/>
      <c r="M1476" s="46" t="str">
        <f aca="false">IF(OR(B1476="",I1476=""),"",IFERROR(INDEX('Comment flow'!$C$40:$C$46,MATCH(I1476,'Comment flow'!$A$40:$A$46,0)),""))</f>
        <v/>
      </c>
      <c r="N1476" s="46" t="str">
        <f aca="false">IF(B1476="","",IF(OR(I1476="",I1476="Open: needs a decision",L1476=""),"Open","Closed"))</f>
        <v/>
      </c>
      <c r="O1476" s="46"/>
      <c r="P1476" s="46" t="str">
        <f aca="false">IF(OR(B1476="",I1476&lt;&gt;"Save for a later revision"),"",IF(COUNTIF('Deferred edits'!$K$2:$K$201,A1476)&gt;0,"Yes","● Add to Deferred edits"))</f>
        <v/>
      </c>
    </row>
    <row r="1477" customFormat="false" ht="15" hidden="false" customHeight="false" outlineLevel="0" collapsed="false">
      <c r="A1477" s="46" t="s">
        <v>1772</v>
      </c>
      <c r="B1477" s="46"/>
      <c r="C1477" s="46"/>
      <c r="D1477" s="46"/>
      <c r="E1477" s="46"/>
      <c r="F1477" s="46"/>
      <c r="G1477" s="46"/>
      <c r="H1477" s="46"/>
      <c r="I1477" s="46"/>
      <c r="J1477" s="46"/>
      <c r="K1477" s="46"/>
      <c r="L1477" s="46"/>
      <c r="M1477" s="46" t="str">
        <f aca="false">IF(OR(B1477="",I1477=""),"",IFERROR(INDEX('Comment flow'!$C$40:$C$46,MATCH(I1477,'Comment flow'!$A$40:$A$46,0)),""))</f>
        <v/>
      </c>
      <c r="N1477" s="46" t="str">
        <f aca="false">IF(B1477="","",IF(OR(I1477="",I1477="Open: needs a decision",L1477=""),"Open","Closed"))</f>
        <v/>
      </c>
      <c r="O1477" s="46"/>
      <c r="P1477" s="46" t="str">
        <f aca="false">IF(OR(B1477="",I1477&lt;&gt;"Save for a later revision"),"",IF(COUNTIF('Deferred edits'!$K$2:$K$201,A1477)&gt;0,"Yes","● Add to Deferred edits"))</f>
        <v/>
      </c>
    </row>
    <row r="1478" customFormat="false" ht="15" hidden="false" customHeight="false" outlineLevel="0" collapsed="false">
      <c r="A1478" s="46" t="s">
        <v>1773</v>
      </c>
      <c r="B1478" s="46"/>
      <c r="C1478" s="46"/>
      <c r="D1478" s="46"/>
      <c r="E1478" s="46"/>
      <c r="F1478" s="46"/>
      <c r="G1478" s="46"/>
      <c r="H1478" s="46"/>
      <c r="I1478" s="46"/>
      <c r="J1478" s="46"/>
      <c r="K1478" s="46"/>
      <c r="L1478" s="46"/>
      <c r="M1478" s="46" t="str">
        <f aca="false">IF(OR(B1478="",I1478=""),"",IFERROR(INDEX('Comment flow'!$C$40:$C$46,MATCH(I1478,'Comment flow'!$A$40:$A$46,0)),""))</f>
        <v/>
      </c>
      <c r="N1478" s="46" t="str">
        <f aca="false">IF(B1478="","",IF(OR(I1478="",I1478="Open: needs a decision",L1478=""),"Open","Closed"))</f>
        <v/>
      </c>
      <c r="O1478" s="46"/>
      <c r="P1478" s="46" t="str">
        <f aca="false">IF(OR(B1478="",I1478&lt;&gt;"Save for a later revision"),"",IF(COUNTIF('Deferred edits'!$K$2:$K$201,A1478)&gt;0,"Yes","● Add to Deferred edits"))</f>
        <v/>
      </c>
    </row>
    <row r="1479" customFormat="false" ht="15" hidden="false" customHeight="false" outlineLevel="0" collapsed="false">
      <c r="A1479" s="46" t="s">
        <v>1774</v>
      </c>
      <c r="B1479" s="46"/>
      <c r="C1479" s="46"/>
      <c r="D1479" s="46"/>
      <c r="E1479" s="46"/>
      <c r="F1479" s="46"/>
      <c r="G1479" s="46"/>
      <c r="H1479" s="46"/>
      <c r="I1479" s="46"/>
      <c r="J1479" s="46"/>
      <c r="K1479" s="46"/>
      <c r="L1479" s="46"/>
      <c r="M1479" s="46" t="str">
        <f aca="false">IF(OR(B1479="",I1479=""),"",IFERROR(INDEX('Comment flow'!$C$40:$C$46,MATCH(I1479,'Comment flow'!$A$40:$A$46,0)),""))</f>
        <v/>
      </c>
      <c r="N1479" s="46" t="str">
        <f aca="false">IF(B1479="","",IF(OR(I1479="",I1479="Open: needs a decision",L1479=""),"Open","Closed"))</f>
        <v/>
      </c>
      <c r="O1479" s="46"/>
      <c r="P1479" s="46" t="str">
        <f aca="false">IF(OR(B1479="",I1479&lt;&gt;"Save for a later revision"),"",IF(COUNTIF('Deferred edits'!$K$2:$K$201,A1479)&gt;0,"Yes","● Add to Deferred edits"))</f>
        <v/>
      </c>
    </row>
    <row r="1480" customFormat="false" ht="15" hidden="false" customHeight="false" outlineLevel="0" collapsed="false">
      <c r="A1480" s="46" t="s">
        <v>1775</v>
      </c>
      <c r="B1480" s="46"/>
      <c r="C1480" s="46"/>
      <c r="D1480" s="46"/>
      <c r="E1480" s="46"/>
      <c r="F1480" s="46"/>
      <c r="G1480" s="46"/>
      <c r="H1480" s="46"/>
      <c r="I1480" s="46"/>
      <c r="J1480" s="46"/>
      <c r="K1480" s="46"/>
      <c r="L1480" s="46"/>
      <c r="M1480" s="46" t="str">
        <f aca="false">IF(OR(B1480="",I1480=""),"",IFERROR(INDEX('Comment flow'!$C$40:$C$46,MATCH(I1480,'Comment flow'!$A$40:$A$46,0)),""))</f>
        <v/>
      </c>
      <c r="N1480" s="46" t="str">
        <f aca="false">IF(B1480="","",IF(OR(I1480="",I1480="Open: needs a decision",L1480=""),"Open","Closed"))</f>
        <v/>
      </c>
      <c r="O1480" s="46"/>
      <c r="P1480" s="46" t="str">
        <f aca="false">IF(OR(B1480="",I1480&lt;&gt;"Save for a later revision"),"",IF(COUNTIF('Deferred edits'!$K$2:$K$201,A1480)&gt;0,"Yes","● Add to Deferred edits"))</f>
        <v/>
      </c>
    </row>
    <row r="1481" customFormat="false" ht="15" hidden="false" customHeight="false" outlineLevel="0" collapsed="false">
      <c r="A1481" s="46" t="s">
        <v>1776</v>
      </c>
      <c r="B1481" s="46"/>
      <c r="C1481" s="46"/>
      <c r="D1481" s="46"/>
      <c r="E1481" s="46"/>
      <c r="F1481" s="46"/>
      <c r="G1481" s="46"/>
      <c r="H1481" s="46"/>
      <c r="I1481" s="46"/>
      <c r="J1481" s="46"/>
      <c r="K1481" s="46"/>
      <c r="L1481" s="46"/>
      <c r="M1481" s="46" t="str">
        <f aca="false">IF(OR(B1481="",I1481=""),"",IFERROR(INDEX('Comment flow'!$C$40:$C$46,MATCH(I1481,'Comment flow'!$A$40:$A$46,0)),""))</f>
        <v/>
      </c>
      <c r="N1481" s="46" t="str">
        <f aca="false">IF(B1481="","",IF(OR(I1481="",I1481="Open: needs a decision",L1481=""),"Open","Closed"))</f>
        <v/>
      </c>
      <c r="O1481" s="46"/>
      <c r="P1481" s="46" t="str">
        <f aca="false">IF(OR(B1481="",I1481&lt;&gt;"Save for a later revision"),"",IF(COUNTIF('Deferred edits'!$K$2:$K$201,A1481)&gt;0,"Yes","● Add to Deferred edits"))</f>
        <v/>
      </c>
    </row>
    <row r="1482" customFormat="false" ht="15" hidden="false" customHeight="false" outlineLevel="0" collapsed="false">
      <c r="A1482" s="46" t="s">
        <v>1777</v>
      </c>
      <c r="B1482" s="46"/>
      <c r="C1482" s="46"/>
      <c r="D1482" s="46"/>
      <c r="E1482" s="46"/>
      <c r="F1482" s="46"/>
      <c r="G1482" s="46"/>
      <c r="H1482" s="46"/>
      <c r="I1482" s="46"/>
      <c r="J1482" s="46"/>
      <c r="K1482" s="46"/>
      <c r="L1482" s="46"/>
      <c r="M1482" s="46" t="str">
        <f aca="false">IF(OR(B1482="",I1482=""),"",IFERROR(INDEX('Comment flow'!$C$40:$C$46,MATCH(I1482,'Comment flow'!$A$40:$A$46,0)),""))</f>
        <v/>
      </c>
      <c r="N1482" s="46" t="str">
        <f aca="false">IF(B1482="","",IF(OR(I1482="",I1482="Open: needs a decision",L1482=""),"Open","Closed"))</f>
        <v/>
      </c>
      <c r="O1482" s="46"/>
      <c r="P1482" s="46" t="str">
        <f aca="false">IF(OR(B1482="",I1482&lt;&gt;"Save for a later revision"),"",IF(COUNTIF('Deferred edits'!$K$2:$K$201,A1482)&gt;0,"Yes","● Add to Deferred edits"))</f>
        <v/>
      </c>
    </row>
    <row r="1483" customFormat="false" ht="15" hidden="false" customHeight="false" outlineLevel="0" collapsed="false">
      <c r="A1483" s="46" t="s">
        <v>1778</v>
      </c>
      <c r="B1483" s="46"/>
      <c r="C1483" s="46"/>
      <c r="D1483" s="46"/>
      <c r="E1483" s="46"/>
      <c r="F1483" s="46"/>
      <c r="G1483" s="46"/>
      <c r="H1483" s="46"/>
      <c r="I1483" s="46"/>
      <c r="J1483" s="46"/>
      <c r="K1483" s="46"/>
      <c r="L1483" s="46"/>
      <c r="M1483" s="46" t="str">
        <f aca="false">IF(OR(B1483="",I1483=""),"",IFERROR(INDEX('Comment flow'!$C$40:$C$46,MATCH(I1483,'Comment flow'!$A$40:$A$46,0)),""))</f>
        <v/>
      </c>
      <c r="N1483" s="46" t="str">
        <f aca="false">IF(B1483="","",IF(OR(I1483="",I1483="Open: needs a decision",L1483=""),"Open","Closed"))</f>
        <v/>
      </c>
      <c r="O1483" s="46"/>
      <c r="P1483" s="46" t="str">
        <f aca="false">IF(OR(B1483="",I1483&lt;&gt;"Save for a later revision"),"",IF(COUNTIF('Deferred edits'!$K$2:$K$201,A1483)&gt;0,"Yes","● Add to Deferred edits"))</f>
        <v/>
      </c>
    </row>
    <row r="1484" customFormat="false" ht="15" hidden="false" customHeight="false" outlineLevel="0" collapsed="false">
      <c r="A1484" s="46" t="s">
        <v>1779</v>
      </c>
      <c r="B1484" s="46"/>
      <c r="C1484" s="46"/>
      <c r="D1484" s="46"/>
      <c r="E1484" s="46"/>
      <c r="F1484" s="46"/>
      <c r="G1484" s="46"/>
      <c r="H1484" s="46"/>
      <c r="I1484" s="46"/>
      <c r="J1484" s="46"/>
      <c r="K1484" s="46"/>
      <c r="L1484" s="46"/>
      <c r="M1484" s="46" t="str">
        <f aca="false">IF(OR(B1484="",I1484=""),"",IFERROR(INDEX('Comment flow'!$C$40:$C$46,MATCH(I1484,'Comment flow'!$A$40:$A$46,0)),""))</f>
        <v/>
      </c>
      <c r="N1484" s="46" t="str">
        <f aca="false">IF(B1484="","",IF(OR(I1484="",I1484="Open: needs a decision",L1484=""),"Open","Closed"))</f>
        <v/>
      </c>
      <c r="O1484" s="46"/>
      <c r="P1484" s="46" t="str">
        <f aca="false">IF(OR(B1484="",I1484&lt;&gt;"Save for a later revision"),"",IF(COUNTIF('Deferred edits'!$K$2:$K$201,A1484)&gt;0,"Yes","● Add to Deferred edits"))</f>
        <v/>
      </c>
    </row>
    <row r="1485" customFormat="false" ht="15" hidden="false" customHeight="false" outlineLevel="0" collapsed="false">
      <c r="A1485" s="46" t="s">
        <v>1780</v>
      </c>
      <c r="B1485" s="46"/>
      <c r="C1485" s="46"/>
      <c r="D1485" s="46"/>
      <c r="E1485" s="46"/>
      <c r="F1485" s="46"/>
      <c r="G1485" s="46"/>
      <c r="H1485" s="46"/>
      <c r="I1485" s="46"/>
      <c r="J1485" s="46"/>
      <c r="K1485" s="46"/>
      <c r="L1485" s="46"/>
      <c r="M1485" s="46" t="str">
        <f aca="false">IF(OR(B1485="",I1485=""),"",IFERROR(INDEX('Comment flow'!$C$40:$C$46,MATCH(I1485,'Comment flow'!$A$40:$A$46,0)),""))</f>
        <v/>
      </c>
      <c r="N1485" s="46" t="str">
        <f aca="false">IF(B1485="","",IF(OR(I1485="",I1485="Open: needs a decision",L1485=""),"Open","Closed"))</f>
        <v/>
      </c>
      <c r="O1485" s="46"/>
      <c r="P1485" s="46" t="str">
        <f aca="false">IF(OR(B1485="",I1485&lt;&gt;"Save for a later revision"),"",IF(COUNTIF('Deferred edits'!$K$2:$K$201,A1485)&gt;0,"Yes","● Add to Deferred edits"))</f>
        <v/>
      </c>
    </row>
    <row r="1486" customFormat="false" ht="15" hidden="false" customHeight="false" outlineLevel="0" collapsed="false">
      <c r="A1486" s="46" t="s">
        <v>1781</v>
      </c>
      <c r="B1486" s="46"/>
      <c r="C1486" s="46"/>
      <c r="D1486" s="46"/>
      <c r="E1486" s="46"/>
      <c r="F1486" s="46"/>
      <c r="G1486" s="46"/>
      <c r="H1486" s="46"/>
      <c r="I1486" s="46"/>
      <c r="J1486" s="46"/>
      <c r="K1486" s="46"/>
      <c r="L1486" s="46"/>
      <c r="M1486" s="46" t="str">
        <f aca="false">IF(OR(B1486="",I1486=""),"",IFERROR(INDEX('Comment flow'!$C$40:$C$46,MATCH(I1486,'Comment flow'!$A$40:$A$46,0)),""))</f>
        <v/>
      </c>
      <c r="N1486" s="46" t="str">
        <f aca="false">IF(B1486="","",IF(OR(I1486="",I1486="Open: needs a decision",L1486=""),"Open","Closed"))</f>
        <v/>
      </c>
      <c r="O1486" s="46"/>
      <c r="P1486" s="46" t="str">
        <f aca="false">IF(OR(B1486="",I1486&lt;&gt;"Save for a later revision"),"",IF(COUNTIF('Deferred edits'!$K$2:$K$201,A1486)&gt;0,"Yes","● Add to Deferred edits"))</f>
        <v/>
      </c>
    </row>
    <row r="1487" customFormat="false" ht="15" hidden="false" customHeight="false" outlineLevel="0" collapsed="false">
      <c r="A1487" s="46" t="s">
        <v>1782</v>
      </c>
      <c r="B1487" s="46"/>
      <c r="C1487" s="46"/>
      <c r="D1487" s="46"/>
      <c r="E1487" s="46"/>
      <c r="F1487" s="46"/>
      <c r="G1487" s="46"/>
      <c r="H1487" s="46"/>
      <c r="I1487" s="46"/>
      <c r="J1487" s="46"/>
      <c r="K1487" s="46"/>
      <c r="L1487" s="46"/>
      <c r="M1487" s="46" t="str">
        <f aca="false">IF(OR(B1487="",I1487=""),"",IFERROR(INDEX('Comment flow'!$C$40:$C$46,MATCH(I1487,'Comment flow'!$A$40:$A$46,0)),""))</f>
        <v/>
      </c>
      <c r="N1487" s="46" t="str">
        <f aca="false">IF(B1487="","",IF(OR(I1487="",I1487="Open: needs a decision",L1487=""),"Open","Closed"))</f>
        <v/>
      </c>
      <c r="O1487" s="46"/>
      <c r="P1487" s="46" t="str">
        <f aca="false">IF(OR(B1487="",I1487&lt;&gt;"Save for a later revision"),"",IF(COUNTIF('Deferred edits'!$K$2:$K$201,A1487)&gt;0,"Yes","● Add to Deferred edits"))</f>
        <v/>
      </c>
    </row>
    <row r="1488" customFormat="false" ht="15" hidden="false" customHeight="false" outlineLevel="0" collapsed="false">
      <c r="A1488" s="46" t="s">
        <v>1783</v>
      </c>
      <c r="B1488" s="46"/>
      <c r="C1488" s="46"/>
      <c r="D1488" s="46"/>
      <c r="E1488" s="46"/>
      <c r="F1488" s="46"/>
      <c r="G1488" s="46"/>
      <c r="H1488" s="46"/>
      <c r="I1488" s="46"/>
      <c r="J1488" s="46"/>
      <c r="K1488" s="46"/>
      <c r="L1488" s="46"/>
      <c r="M1488" s="46" t="str">
        <f aca="false">IF(OR(B1488="",I1488=""),"",IFERROR(INDEX('Comment flow'!$C$40:$C$46,MATCH(I1488,'Comment flow'!$A$40:$A$46,0)),""))</f>
        <v/>
      </c>
      <c r="N1488" s="46" t="str">
        <f aca="false">IF(B1488="","",IF(OR(I1488="",I1488="Open: needs a decision",L1488=""),"Open","Closed"))</f>
        <v/>
      </c>
      <c r="O1488" s="46"/>
      <c r="P1488" s="46" t="str">
        <f aca="false">IF(OR(B1488="",I1488&lt;&gt;"Save for a later revision"),"",IF(COUNTIF('Deferred edits'!$K$2:$K$201,A1488)&gt;0,"Yes","● Add to Deferred edits"))</f>
        <v/>
      </c>
    </row>
    <row r="1489" customFormat="false" ht="15" hidden="false" customHeight="false" outlineLevel="0" collapsed="false">
      <c r="A1489" s="46" t="s">
        <v>1784</v>
      </c>
      <c r="B1489" s="46"/>
      <c r="C1489" s="46"/>
      <c r="D1489" s="46"/>
      <c r="E1489" s="46"/>
      <c r="F1489" s="46"/>
      <c r="G1489" s="46"/>
      <c r="H1489" s="46"/>
      <c r="I1489" s="46"/>
      <c r="J1489" s="46"/>
      <c r="K1489" s="46"/>
      <c r="L1489" s="46"/>
      <c r="M1489" s="46" t="str">
        <f aca="false">IF(OR(B1489="",I1489=""),"",IFERROR(INDEX('Comment flow'!$C$40:$C$46,MATCH(I1489,'Comment flow'!$A$40:$A$46,0)),""))</f>
        <v/>
      </c>
      <c r="N1489" s="46" t="str">
        <f aca="false">IF(B1489="","",IF(OR(I1489="",I1489="Open: needs a decision",L1489=""),"Open","Closed"))</f>
        <v/>
      </c>
      <c r="O1489" s="46"/>
      <c r="P1489" s="46" t="str">
        <f aca="false">IF(OR(B1489="",I1489&lt;&gt;"Save for a later revision"),"",IF(COUNTIF('Deferred edits'!$K$2:$K$201,A1489)&gt;0,"Yes","● Add to Deferred edits"))</f>
        <v/>
      </c>
    </row>
    <row r="1490" customFormat="false" ht="15" hidden="false" customHeight="false" outlineLevel="0" collapsed="false">
      <c r="A1490" s="46" t="s">
        <v>1785</v>
      </c>
      <c r="B1490" s="46"/>
      <c r="C1490" s="46"/>
      <c r="D1490" s="46"/>
      <c r="E1490" s="46"/>
      <c r="F1490" s="46"/>
      <c r="G1490" s="46"/>
      <c r="H1490" s="46"/>
      <c r="I1490" s="46"/>
      <c r="J1490" s="46"/>
      <c r="K1490" s="46"/>
      <c r="L1490" s="46"/>
      <c r="M1490" s="46" t="str">
        <f aca="false">IF(OR(B1490="",I1490=""),"",IFERROR(INDEX('Comment flow'!$C$40:$C$46,MATCH(I1490,'Comment flow'!$A$40:$A$46,0)),""))</f>
        <v/>
      </c>
      <c r="N1490" s="46" t="str">
        <f aca="false">IF(B1490="","",IF(OR(I1490="",I1490="Open: needs a decision",L1490=""),"Open","Closed"))</f>
        <v/>
      </c>
      <c r="O1490" s="46"/>
      <c r="P1490" s="46" t="str">
        <f aca="false">IF(OR(B1490="",I1490&lt;&gt;"Save for a later revision"),"",IF(COUNTIF('Deferred edits'!$K$2:$K$201,A1490)&gt;0,"Yes","● Add to Deferred edits"))</f>
        <v/>
      </c>
    </row>
    <row r="1491" customFormat="false" ht="15" hidden="false" customHeight="false" outlineLevel="0" collapsed="false">
      <c r="A1491" s="46" t="s">
        <v>1786</v>
      </c>
      <c r="B1491" s="46"/>
      <c r="C1491" s="46"/>
      <c r="D1491" s="46"/>
      <c r="E1491" s="46"/>
      <c r="F1491" s="46"/>
      <c r="G1491" s="46"/>
      <c r="H1491" s="46"/>
      <c r="I1491" s="46"/>
      <c r="J1491" s="46"/>
      <c r="K1491" s="46"/>
      <c r="L1491" s="46"/>
      <c r="M1491" s="46" t="str">
        <f aca="false">IF(OR(B1491="",I1491=""),"",IFERROR(INDEX('Comment flow'!$C$40:$C$46,MATCH(I1491,'Comment flow'!$A$40:$A$46,0)),""))</f>
        <v/>
      </c>
      <c r="N1491" s="46" t="str">
        <f aca="false">IF(B1491="","",IF(OR(I1491="",I1491="Open: needs a decision",L1491=""),"Open","Closed"))</f>
        <v/>
      </c>
      <c r="O1491" s="46"/>
      <c r="P1491" s="46" t="str">
        <f aca="false">IF(OR(B1491="",I1491&lt;&gt;"Save for a later revision"),"",IF(COUNTIF('Deferred edits'!$K$2:$K$201,A1491)&gt;0,"Yes","● Add to Deferred edits"))</f>
        <v/>
      </c>
    </row>
    <row r="1492" customFormat="false" ht="15" hidden="false" customHeight="false" outlineLevel="0" collapsed="false">
      <c r="A1492" s="46" t="s">
        <v>1787</v>
      </c>
      <c r="B1492" s="46"/>
      <c r="C1492" s="46"/>
      <c r="D1492" s="46"/>
      <c r="E1492" s="46"/>
      <c r="F1492" s="46"/>
      <c r="G1492" s="46"/>
      <c r="H1492" s="46"/>
      <c r="I1492" s="46"/>
      <c r="J1492" s="46"/>
      <c r="K1492" s="46"/>
      <c r="L1492" s="46"/>
      <c r="M1492" s="46" t="str">
        <f aca="false">IF(OR(B1492="",I1492=""),"",IFERROR(INDEX('Comment flow'!$C$40:$C$46,MATCH(I1492,'Comment flow'!$A$40:$A$46,0)),""))</f>
        <v/>
      </c>
      <c r="N1492" s="46" t="str">
        <f aca="false">IF(B1492="","",IF(OR(I1492="",I1492="Open: needs a decision",L1492=""),"Open","Closed"))</f>
        <v/>
      </c>
      <c r="O1492" s="46"/>
      <c r="P1492" s="46" t="str">
        <f aca="false">IF(OR(B1492="",I1492&lt;&gt;"Save for a later revision"),"",IF(COUNTIF('Deferred edits'!$K$2:$K$201,A1492)&gt;0,"Yes","● Add to Deferred edits"))</f>
        <v/>
      </c>
    </row>
    <row r="1493" customFormat="false" ht="15" hidden="false" customHeight="false" outlineLevel="0" collapsed="false">
      <c r="A1493" s="46" t="s">
        <v>1788</v>
      </c>
      <c r="B1493" s="46"/>
      <c r="C1493" s="46"/>
      <c r="D1493" s="46"/>
      <c r="E1493" s="46"/>
      <c r="F1493" s="46"/>
      <c r="G1493" s="46"/>
      <c r="H1493" s="46"/>
      <c r="I1493" s="46"/>
      <c r="J1493" s="46"/>
      <c r="K1493" s="46"/>
      <c r="L1493" s="46"/>
      <c r="M1493" s="46" t="str">
        <f aca="false">IF(OR(B1493="",I1493=""),"",IFERROR(INDEX('Comment flow'!$C$40:$C$46,MATCH(I1493,'Comment flow'!$A$40:$A$46,0)),""))</f>
        <v/>
      </c>
      <c r="N1493" s="46" t="str">
        <f aca="false">IF(B1493="","",IF(OR(I1493="",I1493="Open: needs a decision",L1493=""),"Open","Closed"))</f>
        <v/>
      </c>
      <c r="O1493" s="46"/>
      <c r="P1493" s="46" t="str">
        <f aca="false">IF(OR(B1493="",I1493&lt;&gt;"Save for a later revision"),"",IF(COUNTIF('Deferred edits'!$K$2:$K$201,A1493)&gt;0,"Yes","● Add to Deferred edits"))</f>
        <v/>
      </c>
    </row>
    <row r="1494" customFormat="false" ht="15" hidden="false" customHeight="false" outlineLevel="0" collapsed="false">
      <c r="A1494" s="46" t="s">
        <v>1789</v>
      </c>
      <c r="B1494" s="46"/>
      <c r="C1494" s="46"/>
      <c r="D1494" s="46"/>
      <c r="E1494" s="46"/>
      <c r="F1494" s="46"/>
      <c r="G1494" s="46"/>
      <c r="H1494" s="46"/>
      <c r="I1494" s="46"/>
      <c r="J1494" s="46"/>
      <c r="K1494" s="46"/>
      <c r="L1494" s="46"/>
      <c r="M1494" s="46" t="str">
        <f aca="false">IF(OR(B1494="",I1494=""),"",IFERROR(INDEX('Comment flow'!$C$40:$C$46,MATCH(I1494,'Comment flow'!$A$40:$A$46,0)),""))</f>
        <v/>
      </c>
      <c r="N1494" s="46" t="str">
        <f aca="false">IF(B1494="","",IF(OR(I1494="",I1494="Open: needs a decision",L1494=""),"Open","Closed"))</f>
        <v/>
      </c>
      <c r="O1494" s="46"/>
      <c r="P1494" s="46" t="str">
        <f aca="false">IF(OR(B1494="",I1494&lt;&gt;"Save for a later revision"),"",IF(COUNTIF('Deferred edits'!$K$2:$K$201,A1494)&gt;0,"Yes","● Add to Deferred edits"))</f>
        <v/>
      </c>
    </row>
    <row r="1495" customFormat="false" ht="15" hidden="false" customHeight="false" outlineLevel="0" collapsed="false">
      <c r="A1495" s="46" t="s">
        <v>1790</v>
      </c>
      <c r="B1495" s="46"/>
      <c r="C1495" s="46"/>
      <c r="D1495" s="46"/>
      <c r="E1495" s="46"/>
      <c r="F1495" s="46"/>
      <c r="G1495" s="46"/>
      <c r="H1495" s="46"/>
      <c r="I1495" s="46"/>
      <c r="J1495" s="46"/>
      <c r="K1495" s="46"/>
      <c r="L1495" s="46"/>
      <c r="M1495" s="46" t="str">
        <f aca="false">IF(OR(B1495="",I1495=""),"",IFERROR(INDEX('Comment flow'!$C$40:$C$46,MATCH(I1495,'Comment flow'!$A$40:$A$46,0)),""))</f>
        <v/>
      </c>
      <c r="N1495" s="46" t="str">
        <f aca="false">IF(B1495="","",IF(OR(I1495="",I1495="Open: needs a decision",L1495=""),"Open","Closed"))</f>
        <v/>
      </c>
      <c r="O1495" s="46"/>
      <c r="P1495" s="46" t="str">
        <f aca="false">IF(OR(B1495="",I1495&lt;&gt;"Save for a later revision"),"",IF(COUNTIF('Deferred edits'!$K$2:$K$201,A1495)&gt;0,"Yes","● Add to Deferred edits"))</f>
        <v/>
      </c>
    </row>
    <row r="1496" customFormat="false" ht="15" hidden="false" customHeight="false" outlineLevel="0" collapsed="false">
      <c r="A1496" s="46" t="s">
        <v>1791</v>
      </c>
      <c r="B1496" s="46"/>
      <c r="C1496" s="46"/>
      <c r="D1496" s="46"/>
      <c r="E1496" s="46"/>
      <c r="F1496" s="46"/>
      <c r="G1496" s="46"/>
      <c r="H1496" s="46"/>
      <c r="I1496" s="46"/>
      <c r="J1496" s="46"/>
      <c r="K1496" s="46"/>
      <c r="L1496" s="46"/>
      <c r="M1496" s="46" t="str">
        <f aca="false">IF(OR(B1496="",I1496=""),"",IFERROR(INDEX('Comment flow'!$C$40:$C$46,MATCH(I1496,'Comment flow'!$A$40:$A$46,0)),""))</f>
        <v/>
      </c>
      <c r="N1496" s="46" t="str">
        <f aca="false">IF(B1496="","",IF(OR(I1496="",I1496="Open: needs a decision",L1496=""),"Open","Closed"))</f>
        <v/>
      </c>
      <c r="O1496" s="46"/>
      <c r="P1496" s="46" t="str">
        <f aca="false">IF(OR(B1496="",I1496&lt;&gt;"Save for a later revision"),"",IF(COUNTIF('Deferred edits'!$K$2:$K$201,A1496)&gt;0,"Yes","● Add to Deferred edits"))</f>
        <v/>
      </c>
    </row>
    <row r="1497" customFormat="false" ht="15" hidden="false" customHeight="false" outlineLevel="0" collapsed="false">
      <c r="A1497" s="46" t="s">
        <v>1792</v>
      </c>
      <c r="B1497" s="46"/>
      <c r="C1497" s="46"/>
      <c r="D1497" s="46"/>
      <c r="E1497" s="46"/>
      <c r="F1497" s="46"/>
      <c r="G1497" s="46"/>
      <c r="H1497" s="46"/>
      <c r="I1497" s="46"/>
      <c r="J1497" s="46"/>
      <c r="K1497" s="46"/>
      <c r="L1497" s="46"/>
      <c r="M1497" s="46" t="str">
        <f aca="false">IF(OR(B1497="",I1497=""),"",IFERROR(INDEX('Comment flow'!$C$40:$C$46,MATCH(I1497,'Comment flow'!$A$40:$A$46,0)),""))</f>
        <v/>
      </c>
      <c r="N1497" s="46" t="str">
        <f aca="false">IF(B1497="","",IF(OR(I1497="",I1497="Open: needs a decision",L1497=""),"Open","Closed"))</f>
        <v/>
      </c>
      <c r="O1497" s="46"/>
      <c r="P1497" s="46" t="str">
        <f aca="false">IF(OR(B1497="",I1497&lt;&gt;"Save for a later revision"),"",IF(COUNTIF('Deferred edits'!$K$2:$K$201,A1497)&gt;0,"Yes","● Add to Deferred edits"))</f>
        <v/>
      </c>
    </row>
    <row r="1498" customFormat="false" ht="15" hidden="false" customHeight="false" outlineLevel="0" collapsed="false">
      <c r="A1498" s="46" t="s">
        <v>1793</v>
      </c>
      <c r="B1498" s="46"/>
      <c r="C1498" s="46"/>
      <c r="D1498" s="46"/>
      <c r="E1498" s="46"/>
      <c r="F1498" s="46"/>
      <c r="G1498" s="46"/>
      <c r="H1498" s="46"/>
      <c r="I1498" s="46"/>
      <c r="J1498" s="46"/>
      <c r="K1498" s="46"/>
      <c r="L1498" s="46"/>
      <c r="M1498" s="46" t="str">
        <f aca="false">IF(OR(B1498="",I1498=""),"",IFERROR(INDEX('Comment flow'!$C$40:$C$46,MATCH(I1498,'Comment flow'!$A$40:$A$46,0)),""))</f>
        <v/>
      </c>
      <c r="N1498" s="46" t="str">
        <f aca="false">IF(B1498="","",IF(OR(I1498="",I1498="Open: needs a decision",L1498=""),"Open","Closed"))</f>
        <v/>
      </c>
      <c r="O1498" s="46"/>
      <c r="P1498" s="46" t="str">
        <f aca="false">IF(OR(B1498="",I1498&lt;&gt;"Save for a later revision"),"",IF(COUNTIF('Deferred edits'!$K$2:$K$201,A1498)&gt;0,"Yes","● Add to Deferred edits"))</f>
        <v/>
      </c>
    </row>
    <row r="1499" customFormat="false" ht="15" hidden="false" customHeight="false" outlineLevel="0" collapsed="false">
      <c r="A1499" s="46" t="s">
        <v>1794</v>
      </c>
      <c r="B1499" s="46"/>
      <c r="C1499" s="46"/>
      <c r="D1499" s="46"/>
      <c r="E1499" s="46"/>
      <c r="F1499" s="46"/>
      <c r="G1499" s="46"/>
      <c r="H1499" s="46"/>
      <c r="I1499" s="46"/>
      <c r="J1499" s="46"/>
      <c r="K1499" s="46"/>
      <c r="L1499" s="46"/>
      <c r="M1499" s="46" t="str">
        <f aca="false">IF(OR(B1499="",I1499=""),"",IFERROR(INDEX('Comment flow'!$C$40:$C$46,MATCH(I1499,'Comment flow'!$A$40:$A$46,0)),""))</f>
        <v/>
      </c>
      <c r="N1499" s="46" t="str">
        <f aca="false">IF(B1499="","",IF(OR(I1499="",I1499="Open: needs a decision",L1499=""),"Open","Closed"))</f>
        <v/>
      </c>
      <c r="O1499" s="46"/>
      <c r="P1499" s="46" t="str">
        <f aca="false">IF(OR(B1499="",I1499&lt;&gt;"Save for a later revision"),"",IF(COUNTIF('Deferred edits'!$K$2:$K$201,A1499)&gt;0,"Yes","● Add to Deferred edits"))</f>
        <v/>
      </c>
    </row>
    <row r="1500" customFormat="false" ht="15" hidden="false" customHeight="false" outlineLevel="0" collapsed="false">
      <c r="A1500" s="46" t="s">
        <v>1795</v>
      </c>
      <c r="B1500" s="46"/>
      <c r="C1500" s="46"/>
      <c r="D1500" s="46"/>
      <c r="E1500" s="46"/>
      <c r="F1500" s="46"/>
      <c r="G1500" s="46"/>
      <c r="H1500" s="46"/>
      <c r="I1500" s="46"/>
      <c r="J1500" s="46"/>
      <c r="K1500" s="46"/>
      <c r="L1500" s="46"/>
      <c r="M1500" s="46" t="str">
        <f aca="false">IF(OR(B1500="",I1500=""),"",IFERROR(INDEX('Comment flow'!$C$40:$C$46,MATCH(I1500,'Comment flow'!$A$40:$A$46,0)),""))</f>
        <v/>
      </c>
      <c r="N1500" s="46" t="str">
        <f aca="false">IF(B1500="","",IF(OR(I1500="",I1500="Open: needs a decision",L1500=""),"Open","Closed"))</f>
        <v/>
      </c>
      <c r="O1500" s="46"/>
      <c r="P1500" s="46" t="str">
        <f aca="false">IF(OR(B1500="",I1500&lt;&gt;"Save for a later revision"),"",IF(COUNTIF('Deferred edits'!$K$2:$K$201,A1500)&gt;0,"Yes","● Add to Deferred edits"))</f>
        <v/>
      </c>
    </row>
    <row r="1501" customFormat="false" ht="15" hidden="false" customHeight="false" outlineLevel="0" collapsed="false">
      <c r="A1501" s="46" t="s">
        <v>1796</v>
      </c>
      <c r="B1501" s="46"/>
      <c r="C1501" s="46"/>
      <c r="D1501" s="46"/>
      <c r="E1501" s="46"/>
      <c r="F1501" s="46"/>
      <c r="G1501" s="46"/>
      <c r="H1501" s="46"/>
      <c r="I1501" s="46"/>
      <c r="J1501" s="46"/>
      <c r="K1501" s="46"/>
      <c r="L1501" s="46"/>
      <c r="M1501" s="46" t="str">
        <f aca="false">IF(OR(B1501="",I1501=""),"",IFERROR(INDEX('Comment flow'!$C$40:$C$46,MATCH(I1501,'Comment flow'!$A$40:$A$46,0)),""))</f>
        <v/>
      </c>
      <c r="N1501" s="46" t="str">
        <f aca="false">IF(B1501="","",IF(OR(I1501="",I1501="Open: needs a decision",L1501=""),"Open","Closed"))</f>
        <v/>
      </c>
      <c r="O1501" s="46"/>
      <c r="P1501" s="46" t="str">
        <f aca="false">IF(OR(B1501="",I1501&lt;&gt;"Save for a later revision"),"",IF(COUNTIF('Deferred edits'!$K$2:$K$201,A1501)&gt;0,"Yes","● Add to Deferred edits"))</f>
        <v/>
      </c>
    </row>
    <row r="1502" customFormat="false" ht="15" hidden="false" customHeight="false" outlineLevel="0" collapsed="false">
      <c r="A1502" s="46" t="s">
        <v>1797</v>
      </c>
      <c r="B1502" s="46"/>
      <c r="C1502" s="46"/>
      <c r="D1502" s="46"/>
      <c r="E1502" s="46"/>
      <c r="F1502" s="46"/>
      <c r="G1502" s="46"/>
      <c r="H1502" s="46"/>
      <c r="I1502" s="46"/>
      <c r="J1502" s="46"/>
      <c r="K1502" s="46"/>
      <c r="L1502" s="46"/>
      <c r="M1502" s="46" t="str">
        <f aca="false">IF(OR(B1502="",I1502=""),"",IFERROR(INDEX('Comment flow'!$C$40:$C$46,MATCH(I1502,'Comment flow'!$A$40:$A$46,0)),""))</f>
        <v/>
      </c>
      <c r="N1502" s="46" t="str">
        <f aca="false">IF(B1502="","",IF(OR(I1502="",I1502="Open: needs a decision",L1502=""),"Open","Closed"))</f>
        <v/>
      </c>
      <c r="O1502" s="46"/>
      <c r="P1502" s="46" t="str">
        <f aca="false">IF(OR(B1502="",I1502&lt;&gt;"Save for a later revision"),"",IF(COUNTIF('Deferred edits'!$K$2:$K$201,A1502)&gt;0,"Yes","● Add to Deferred edits"))</f>
        <v/>
      </c>
    </row>
    <row r="1503" customFormat="false" ht="15" hidden="false" customHeight="false" outlineLevel="0" collapsed="false">
      <c r="A1503" s="46" t="s">
        <v>1798</v>
      </c>
      <c r="B1503" s="46"/>
      <c r="C1503" s="46"/>
      <c r="D1503" s="46"/>
      <c r="E1503" s="46"/>
      <c r="F1503" s="46"/>
      <c r="G1503" s="46"/>
      <c r="H1503" s="46"/>
      <c r="I1503" s="46"/>
      <c r="J1503" s="46"/>
      <c r="K1503" s="46"/>
      <c r="L1503" s="46"/>
      <c r="M1503" s="46" t="str">
        <f aca="false">IF(OR(B1503="",I1503=""),"",IFERROR(INDEX('Comment flow'!$C$40:$C$46,MATCH(I1503,'Comment flow'!$A$40:$A$46,0)),""))</f>
        <v/>
      </c>
      <c r="N1503" s="46" t="str">
        <f aca="false">IF(B1503="","",IF(OR(I1503="",I1503="Open: needs a decision",L1503=""),"Open","Closed"))</f>
        <v/>
      </c>
      <c r="O1503" s="46"/>
      <c r="P1503" s="46" t="str">
        <f aca="false">IF(OR(B1503="",I1503&lt;&gt;"Save for a later revision"),"",IF(COUNTIF('Deferred edits'!$K$2:$K$201,A1503)&gt;0,"Yes","● Add to Deferred edits"))</f>
        <v/>
      </c>
    </row>
    <row r="1504" customFormat="false" ht="15" hidden="false" customHeight="false" outlineLevel="0" collapsed="false">
      <c r="A1504" s="46" t="s">
        <v>1799</v>
      </c>
      <c r="B1504" s="46"/>
      <c r="C1504" s="46"/>
      <c r="D1504" s="46"/>
      <c r="E1504" s="46"/>
      <c r="F1504" s="46"/>
      <c r="G1504" s="46"/>
      <c r="H1504" s="46"/>
      <c r="I1504" s="46"/>
      <c r="J1504" s="46"/>
      <c r="K1504" s="46"/>
      <c r="L1504" s="46"/>
      <c r="M1504" s="46" t="str">
        <f aca="false">IF(OR(B1504="",I1504=""),"",IFERROR(INDEX('Comment flow'!$C$40:$C$46,MATCH(I1504,'Comment flow'!$A$40:$A$46,0)),""))</f>
        <v/>
      </c>
      <c r="N1504" s="46" t="str">
        <f aca="false">IF(B1504="","",IF(OR(I1504="",I1504="Open: needs a decision",L1504=""),"Open","Closed"))</f>
        <v/>
      </c>
      <c r="O1504" s="46"/>
      <c r="P1504" s="46" t="str">
        <f aca="false">IF(OR(B1504="",I1504&lt;&gt;"Save for a later revision"),"",IF(COUNTIF('Deferred edits'!$K$2:$K$201,A1504)&gt;0,"Yes","● Add to Deferred edits"))</f>
        <v/>
      </c>
    </row>
    <row r="1505" customFormat="false" ht="15" hidden="false" customHeight="false" outlineLevel="0" collapsed="false">
      <c r="A1505" s="46" t="s">
        <v>1800</v>
      </c>
      <c r="B1505" s="46"/>
      <c r="C1505" s="46"/>
      <c r="D1505" s="46"/>
      <c r="E1505" s="46"/>
      <c r="F1505" s="46"/>
      <c r="G1505" s="46"/>
      <c r="H1505" s="46"/>
      <c r="I1505" s="46"/>
      <c r="J1505" s="46"/>
      <c r="K1505" s="46"/>
      <c r="L1505" s="46"/>
      <c r="M1505" s="46" t="str">
        <f aca="false">IF(OR(B1505="",I1505=""),"",IFERROR(INDEX('Comment flow'!$C$40:$C$46,MATCH(I1505,'Comment flow'!$A$40:$A$46,0)),""))</f>
        <v/>
      </c>
      <c r="N1505" s="46" t="str">
        <f aca="false">IF(B1505="","",IF(OR(I1505="",I1505="Open: needs a decision",L1505=""),"Open","Closed"))</f>
        <v/>
      </c>
      <c r="O1505" s="46"/>
      <c r="P1505" s="46" t="str">
        <f aca="false">IF(OR(B1505="",I1505&lt;&gt;"Save for a later revision"),"",IF(COUNTIF('Deferred edits'!$K$2:$K$201,A1505)&gt;0,"Yes","● Add to Deferred edits"))</f>
        <v/>
      </c>
    </row>
    <row r="1506" customFormat="false" ht="15" hidden="false" customHeight="false" outlineLevel="0" collapsed="false">
      <c r="A1506" s="46" t="s">
        <v>1801</v>
      </c>
      <c r="B1506" s="46"/>
      <c r="C1506" s="46"/>
      <c r="D1506" s="46"/>
      <c r="E1506" s="46"/>
      <c r="F1506" s="46"/>
      <c r="G1506" s="46"/>
      <c r="H1506" s="46"/>
      <c r="I1506" s="46"/>
      <c r="J1506" s="46"/>
      <c r="K1506" s="46"/>
      <c r="L1506" s="46"/>
      <c r="M1506" s="46" t="str">
        <f aca="false">IF(OR(B1506="",I1506=""),"",IFERROR(INDEX('Comment flow'!$C$40:$C$46,MATCH(I1506,'Comment flow'!$A$40:$A$46,0)),""))</f>
        <v/>
      </c>
      <c r="N1506" s="46" t="str">
        <f aca="false">IF(B1506="","",IF(OR(I1506="",I1506="Open: needs a decision",L1506=""),"Open","Closed"))</f>
        <v/>
      </c>
      <c r="O1506" s="46"/>
      <c r="P1506" s="46" t="str">
        <f aca="false">IF(OR(B1506="",I1506&lt;&gt;"Save for a later revision"),"",IF(COUNTIF('Deferred edits'!$K$2:$K$201,A1506)&gt;0,"Yes","● Add to Deferred edits"))</f>
        <v/>
      </c>
    </row>
    <row r="1507" customFormat="false" ht="15" hidden="false" customHeight="false" outlineLevel="0" collapsed="false">
      <c r="A1507" s="46" t="s">
        <v>1802</v>
      </c>
      <c r="B1507" s="46"/>
      <c r="C1507" s="46"/>
      <c r="D1507" s="46"/>
      <c r="E1507" s="46"/>
      <c r="F1507" s="46"/>
      <c r="G1507" s="46"/>
      <c r="H1507" s="46"/>
      <c r="I1507" s="46"/>
      <c r="J1507" s="46"/>
      <c r="K1507" s="46"/>
      <c r="L1507" s="46"/>
      <c r="M1507" s="46" t="str">
        <f aca="false">IF(OR(B1507="",I1507=""),"",IFERROR(INDEX('Comment flow'!$C$40:$C$46,MATCH(I1507,'Comment flow'!$A$40:$A$46,0)),""))</f>
        <v/>
      </c>
      <c r="N1507" s="46" t="str">
        <f aca="false">IF(B1507="","",IF(OR(I1507="",I1507="Open: needs a decision",L1507=""),"Open","Closed"))</f>
        <v/>
      </c>
      <c r="O1507" s="46"/>
      <c r="P1507" s="46" t="str">
        <f aca="false">IF(OR(B1507="",I1507&lt;&gt;"Save for a later revision"),"",IF(COUNTIF('Deferred edits'!$K$2:$K$201,A1507)&gt;0,"Yes","● Add to Deferred edits"))</f>
        <v/>
      </c>
    </row>
    <row r="1508" customFormat="false" ht="15" hidden="false" customHeight="false" outlineLevel="0" collapsed="false">
      <c r="A1508" s="46" t="s">
        <v>1803</v>
      </c>
      <c r="B1508" s="46"/>
      <c r="C1508" s="46"/>
      <c r="D1508" s="46"/>
      <c r="E1508" s="46"/>
      <c r="F1508" s="46"/>
      <c r="G1508" s="46"/>
      <c r="H1508" s="46"/>
      <c r="I1508" s="46"/>
      <c r="J1508" s="46"/>
      <c r="K1508" s="46"/>
      <c r="L1508" s="46"/>
      <c r="M1508" s="46" t="str">
        <f aca="false">IF(OR(B1508="",I1508=""),"",IFERROR(INDEX('Comment flow'!$C$40:$C$46,MATCH(I1508,'Comment flow'!$A$40:$A$46,0)),""))</f>
        <v/>
      </c>
      <c r="N1508" s="46" t="str">
        <f aca="false">IF(B1508="","",IF(OR(I1508="",I1508="Open: needs a decision",L1508=""),"Open","Closed"))</f>
        <v/>
      </c>
      <c r="O1508" s="46"/>
      <c r="P1508" s="46" t="str">
        <f aca="false">IF(OR(B1508="",I1508&lt;&gt;"Save for a later revision"),"",IF(COUNTIF('Deferred edits'!$K$2:$K$201,A1508)&gt;0,"Yes","● Add to Deferred edits"))</f>
        <v/>
      </c>
    </row>
    <row r="1509" customFormat="false" ht="15" hidden="false" customHeight="false" outlineLevel="0" collapsed="false">
      <c r="A1509" s="46" t="s">
        <v>1804</v>
      </c>
      <c r="B1509" s="46"/>
      <c r="C1509" s="46"/>
      <c r="D1509" s="46"/>
      <c r="E1509" s="46"/>
      <c r="F1509" s="46"/>
      <c r="G1509" s="46"/>
      <c r="H1509" s="46"/>
      <c r="I1509" s="46"/>
      <c r="J1509" s="46"/>
      <c r="K1509" s="46"/>
      <c r="L1509" s="46"/>
      <c r="M1509" s="46" t="str">
        <f aca="false">IF(OR(B1509="",I1509=""),"",IFERROR(INDEX('Comment flow'!$C$40:$C$46,MATCH(I1509,'Comment flow'!$A$40:$A$46,0)),""))</f>
        <v/>
      </c>
      <c r="N1509" s="46" t="str">
        <f aca="false">IF(B1509="","",IF(OR(I1509="",I1509="Open: needs a decision",L1509=""),"Open","Closed"))</f>
        <v/>
      </c>
      <c r="O1509" s="46"/>
      <c r="P1509" s="46" t="str">
        <f aca="false">IF(OR(B1509="",I1509&lt;&gt;"Save for a later revision"),"",IF(COUNTIF('Deferred edits'!$K$2:$K$201,A1509)&gt;0,"Yes","● Add to Deferred edits"))</f>
        <v/>
      </c>
    </row>
    <row r="1510" customFormat="false" ht="15" hidden="false" customHeight="false" outlineLevel="0" collapsed="false">
      <c r="A1510" s="46" t="s">
        <v>1805</v>
      </c>
      <c r="B1510" s="46"/>
      <c r="C1510" s="46"/>
      <c r="D1510" s="46"/>
      <c r="E1510" s="46"/>
      <c r="F1510" s="46"/>
      <c r="G1510" s="46"/>
      <c r="H1510" s="46"/>
      <c r="I1510" s="46"/>
      <c r="J1510" s="46"/>
      <c r="K1510" s="46"/>
      <c r="L1510" s="46"/>
      <c r="M1510" s="46" t="str">
        <f aca="false">IF(OR(B1510="",I1510=""),"",IFERROR(INDEX('Comment flow'!$C$40:$C$46,MATCH(I1510,'Comment flow'!$A$40:$A$46,0)),""))</f>
        <v/>
      </c>
      <c r="N1510" s="46" t="str">
        <f aca="false">IF(B1510="","",IF(OR(I1510="",I1510="Open: needs a decision",L1510=""),"Open","Closed"))</f>
        <v/>
      </c>
      <c r="O1510" s="46"/>
      <c r="P1510" s="46" t="str">
        <f aca="false">IF(OR(B1510="",I1510&lt;&gt;"Save for a later revision"),"",IF(COUNTIF('Deferred edits'!$K$2:$K$201,A1510)&gt;0,"Yes","● Add to Deferred edits"))</f>
        <v/>
      </c>
    </row>
    <row r="1511" customFormat="false" ht="15" hidden="false" customHeight="false" outlineLevel="0" collapsed="false">
      <c r="A1511" s="46" t="s">
        <v>1806</v>
      </c>
      <c r="B1511" s="46"/>
      <c r="C1511" s="46"/>
      <c r="D1511" s="46"/>
      <c r="E1511" s="46"/>
      <c r="F1511" s="46"/>
      <c r="G1511" s="46"/>
      <c r="H1511" s="46"/>
      <c r="I1511" s="46"/>
      <c r="J1511" s="46"/>
      <c r="K1511" s="46"/>
      <c r="L1511" s="46"/>
      <c r="M1511" s="46" t="str">
        <f aca="false">IF(OR(B1511="",I1511=""),"",IFERROR(INDEX('Comment flow'!$C$40:$C$46,MATCH(I1511,'Comment flow'!$A$40:$A$46,0)),""))</f>
        <v/>
      </c>
      <c r="N1511" s="46" t="str">
        <f aca="false">IF(B1511="","",IF(OR(I1511="",I1511="Open: needs a decision",L1511=""),"Open","Closed"))</f>
        <v/>
      </c>
      <c r="O1511" s="46"/>
      <c r="P1511" s="46" t="str">
        <f aca="false">IF(OR(B1511="",I1511&lt;&gt;"Save for a later revision"),"",IF(COUNTIF('Deferred edits'!$K$2:$K$201,A1511)&gt;0,"Yes","● Add to Deferred edits"))</f>
        <v/>
      </c>
    </row>
    <row r="1512" customFormat="false" ht="15" hidden="false" customHeight="false" outlineLevel="0" collapsed="false">
      <c r="A1512" s="46" t="s">
        <v>1807</v>
      </c>
      <c r="B1512" s="46"/>
      <c r="C1512" s="46"/>
      <c r="D1512" s="46"/>
      <c r="E1512" s="46"/>
      <c r="F1512" s="46"/>
      <c r="G1512" s="46"/>
      <c r="H1512" s="46"/>
      <c r="I1512" s="46"/>
      <c r="J1512" s="46"/>
      <c r="K1512" s="46"/>
      <c r="L1512" s="46"/>
      <c r="M1512" s="46" t="str">
        <f aca="false">IF(OR(B1512="",I1512=""),"",IFERROR(INDEX('Comment flow'!$C$40:$C$46,MATCH(I1512,'Comment flow'!$A$40:$A$46,0)),""))</f>
        <v/>
      </c>
      <c r="N1512" s="46" t="str">
        <f aca="false">IF(B1512="","",IF(OR(I1512="",I1512="Open: needs a decision",L1512=""),"Open","Closed"))</f>
        <v/>
      </c>
      <c r="O1512" s="46"/>
      <c r="P1512" s="46" t="str">
        <f aca="false">IF(OR(B1512="",I1512&lt;&gt;"Save for a later revision"),"",IF(COUNTIF('Deferred edits'!$K$2:$K$201,A1512)&gt;0,"Yes","● Add to Deferred edits"))</f>
        <v/>
      </c>
    </row>
    <row r="1513" customFormat="false" ht="15" hidden="false" customHeight="false" outlineLevel="0" collapsed="false">
      <c r="A1513" s="46" t="s">
        <v>1808</v>
      </c>
      <c r="B1513" s="46"/>
      <c r="C1513" s="46"/>
      <c r="D1513" s="46"/>
      <c r="E1513" s="46"/>
      <c r="F1513" s="46"/>
      <c r="G1513" s="46"/>
      <c r="H1513" s="46"/>
      <c r="I1513" s="46"/>
      <c r="J1513" s="46"/>
      <c r="K1513" s="46"/>
      <c r="L1513" s="46"/>
      <c r="M1513" s="46" t="str">
        <f aca="false">IF(OR(B1513="",I1513=""),"",IFERROR(INDEX('Comment flow'!$C$40:$C$46,MATCH(I1513,'Comment flow'!$A$40:$A$46,0)),""))</f>
        <v/>
      </c>
      <c r="N1513" s="46" t="str">
        <f aca="false">IF(B1513="","",IF(OR(I1513="",I1513="Open: needs a decision",L1513=""),"Open","Closed"))</f>
        <v/>
      </c>
      <c r="O1513" s="46"/>
      <c r="P1513" s="46" t="str">
        <f aca="false">IF(OR(B1513="",I1513&lt;&gt;"Save for a later revision"),"",IF(COUNTIF('Deferred edits'!$K$2:$K$201,A1513)&gt;0,"Yes","● Add to Deferred edits"))</f>
        <v/>
      </c>
    </row>
    <row r="1514" customFormat="false" ht="15" hidden="false" customHeight="false" outlineLevel="0" collapsed="false">
      <c r="A1514" s="46" t="s">
        <v>1809</v>
      </c>
      <c r="B1514" s="46"/>
      <c r="C1514" s="46"/>
      <c r="D1514" s="46"/>
      <c r="E1514" s="46"/>
      <c r="F1514" s="46"/>
      <c r="G1514" s="46"/>
      <c r="H1514" s="46"/>
      <c r="I1514" s="46"/>
      <c r="J1514" s="46"/>
      <c r="K1514" s="46"/>
      <c r="L1514" s="46"/>
      <c r="M1514" s="46" t="str">
        <f aca="false">IF(OR(B1514="",I1514=""),"",IFERROR(INDEX('Comment flow'!$C$40:$C$46,MATCH(I1514,'Comment flow'!$A$40:$A$46,0)),""))</f>
        <v/>
      </c>
      <c r="N1514" s="46" t="str">
        <f aca="false">IF(B1514="","",IF(OR(I1514="",I1514="Open: needs a decision",L1514=""),"Open","Closed"))</f>
        <v/>
      </c>
      <c r="O1514" s="46"/>
      <c r="P1514" s="46" t="str">
        <f aca="false">IF(OR(B1514="",I1514&lt;&gt;"Save for a later revision"),"",IF(COUNTIF('Deferred edits'!$K$2:$K$201,A1514)&gt;0,"Yes","● Add to Deferred edits"))</f>
        <v/>
      </c>
    </row>
    <row r="1515" customFormat="false" ht="15" hidden="false" customHeight="false" outlineLevel="0" collapsed="false">
      <c r="A1515" s="46" t="s">
        <v>1810</v>
      </c>
      <c r="B1515" s="46"/>
      <c r="C1515" s="46"/>
      <c r="D1515" s="46"/>
      <c r="E1515" s="46"/>
      <c r="F1515" s="46"/>
      <c r="G1515" s="46"/>
      <c r="H1515" s="46"/>
      <c r="I1515" s="46"/>
      <c r="J1515" s="46"/>
      <c r="K1515" s="46"/>
      <c r="L1515" s="46"/>
      <c r="M1515" s="46" t="str">
        <f aca="false">IF(OR(B1515="",I1515=""),"",IFERROR(INDEX('Comment flow'!$C$40:$C$46,MATCH(I1515,'Comment flow'!$A$40:$A$46,0)),""))</f>
        <v/>
      </c>
      <c r="N1515" s="46" t="str">
        <f aca="false">IF(B1515="","",IF(OR(I1515="",I1515="Open: needs a decision",L1515=""),"Open","Closed"))</f>
        <v/>
      </c>
      <c r="O1515" s="46"/>
      <c r="P1515" s="46" t="str">
        <f aca="false">IF(OR(B1515="",I1515&lt;&gt;"Save for a later revision"),"",IF(COUNTIF('Deferred edits'!$K$2:$K$201,A1515)&gt;0,"Yes","● Add to Deferred edits"))</f>
        <v/>
      </c>
    </row>
    <row r="1516" customFormat="false" ht="15" hidden="false" customHeight="false" outlineLevel="0" collapsed="false">
      <c r="A1516" s="46" t="s">
        <v>1811</v>
      </c>
      <c r="B1516" s="46"/>
      <c r="C1516" s="46"/>
      <c r="D1516" s="46"/>
      <c r="E1516" s="46"/>
      <c r="F1516" s="46"/>
      <c r="G1516" s="46"/>
      <c r="H1516" s="46"/>
      <c r="I1516" s="46"/>
      <c r="J1516" s="46"/>
      <c r="K1516" s="46"/>
      <c r="L1516" s="46"/>
      <c r="M1516" s="46" t="str">
        <f aca="false">IF(OR(B1516="",I1516=""),"",IFERROR(INDEX('Comment flow'!$C$40:$C$46,MATCH(I1516,'Comment flow'!$A$40:$A$46,0)),""))</f>
        <v/>
      </c>
      <c r="N1516" s="46" t="str">
        <f aca="false">IF(B1516="","",IF(OR(I1516="",I1516="Open: needs a decision",L1516=""),"Open","Closed"))</f>
        <v/>
      </c>
      <c r="O1516" s="46"/>
      <c r="P1516" s="46" t="str">
        <f aca="false">IF(OR(B1516="",I1516&lt;&gt;"Save for a later revision"),"",IF(COUNTIF('Deferred edits'!$K$2:$K$201,A1516)&gt;0,"Yes","● Add to Deferred edits"))</f>
        <v/>
      </c>
    </row>
    <row r="1517" customFormat="false" ht="15" hidden="false" customHeight="false" outlineLevel="0" collapsed="false">
      <c r="A1517" s="46" t="s">
        <v>1812</v>
      </c>
      <c r="B1517" s="46"/>
      <c r="C1517" s="46"/>
      <c r="D1517" s="46"/>
      <c r="E1517" s="46"/>
      <c r="F1517" s="46"/>
      <c r="G1517" s="46"/>
      <c r="H1517" s="46"/>
      <c r="I1517" s="46"/>
      <c r="J1517" s="46"/>
      <c r="K1517" s="46"/>
      <c r="L1517" s="46"/>
      <c r="M1517" s="46" t="str">
        <f aca="false">IF(OR(B1517="",I1517=""),"",IFERROR(INDEX('Comment flow'!$C$40:$C$46,MATCH(I1517,'Comment flow'!$A$40:$A$46,0)),""))</f>
        <v/>
      </c>
      <c r="N1517" s="46" t="str">
        <f aca="false">IF(B1517="","",IF(OR(I1517="",I1517="Open: needs a decision",L1517=""),"Open","Closed"))</f>
        <v/>
      </c>
      <c r="O1517" s="46"/>
      <c r="P1517" s="46" t="str">
        <f aca="false">IF(OR(B1517="",I1517&lt;&gt;"Save for a later revision"),"",IF(COUNTIF('Deferred edits'!$K$2:$K$201,A1517)&gt;0,"Yes","● Add to Deferred edits"))</f>
        <v/>
      </c>
    </row>
    <row r="1518" customFormat="false" ht="15" hidden="false" customHeight="false" outlineLevel="0" collapsed="false">
      <c r="A1518" s="46" t="s">
        <v>1813</v>
      </c>
      <c r="B1518" s="46"/>
      <c r="C1518" s="46"/>
      <c r="D1518" s="46"/>
      <c r="E1518" s="46"/>
      <c r="F1518" s="46"/>
      <c r="G1518" s="46"/>
      <c r="H1518" s="46"/>
      <c r="I1518" s="46"/>
      <c r="J1518" s="46"/>
      <c r="K1518" s="46"/>
      <c r="L1518" s="46"/>
      <c r="M1518" s="46" t="str">
        <f aca="false">IF(OR(B1518="",I1518=""),"",IFERROR(INDEX('Comment flow'!$C$40:$C$46,MATCH(I1518,'Comment flow'!$A$40:$A$46,0)),""))</f>
        <v/>
      </c>
      <c r="N1518" s="46" t="str">
        <f aca="false">IF(B1518="","",IF(OR(I1518="",I1518="Open: needs a decision",L1518=""),"Open","Closed"))</f>
        <v/>
      </c>
      <c r="O1518" s="46"/>
      <c r="P1518" s="46" t="str">
        <f aca="false">IF(OR(B1518="",I1518&lt;&gt;"Save for a later revision"),"",IF(COUNTIF('Deferred edits'!$K$2:$K$201,A1518)&gt;0,"Yes","● Add to Deferred edits"))</f>
        <v/>
      </c>
    </row>
    <row r="1519" customFormat="false" ht="15" hidden="false" customHeight="false" outlineLevel="0" collapsed="false">
      <c r="A1519" s="46" t="s">
        <v>1814</v>
      </c>
      <c r="B1519" s="46"/>
      <c r="C1519" s="46"/>
      <c r="D1519" s="46"/>
      <c r="E1519" s="46"/>
      <c r="F1519" s="46"/>
      <c r="G1519" s="46"/>
      <c r="H1519" s="46"/>
      <c r="I1519" s="46"/>
      <c r="J1519" s="46"/>
      <c r="K1519" s="46"/>
      <c r="L1519" s="46"/>
      <c r="M1519" s="46" t="str">
        <f aca="false">IF(OR(B1519="",I1519=""),"",IFERROR(INDEX('Comment flow'!$C$40:$C$46,MATCH(I1519,'Comment flow'!$A$40:$A$46,0)),""))</f>
        <v/>
      </c>
      <c r="N1519" s="46" t="str">
        <f aca="false">IF(B1519="","",IF(OR(I1519="",I1519="Open: needs a decision",L1519=""),"Open","Closed"))</f>
        <v/>
      </c>
      <c r="O1519" s="46"/>
      <c r="P1519" s="46" t="str">
        <f aca="false">IF(OR(B1519="",I1519&lt;&gt;"Save for a later revision"),"",IF(COUNTIF('Deferred edits'!$K$2:$K$201,A1519)&gt;0,"Yes","● Add to Deferred edits"))</f>
        <v/>
      </c>
    </row>
    <row r="1520" customFormat="false" ht="15" hidden="false" customHeight="false" outlineLevel="0" collapsed="false">
      <c r="A1520" s="46" t="s">
        <v>1815</v>
      </c>
      <c r="B1520" s="46"/>
      <c r="C1520" s="46"/>
      <c r="D1520" s="46"/>
      <c r="E1520" s="46"/>
      <c r="F1520" s="46"/>
      <c r="G1520" s="46"/>
      <c r="H1520" s="46"/>
      <c r="I1520" s="46"/>
      <c r="J1520" s="46"/>
      <c r="K1520" s="46"/>
      <c r="L1520" s="46"/>
      <c r="M1520" s="46" t="str">
        <f aca="false">IF(OR(B1520="",I1520=""),"",IFERROR(INDEX('Comment flow'!$C$40:$C$46,MATCH(I1520,'Comment flow'!$A$40:$A$46,0)),""))</f>
        <v/>
      </c>
      <c r="N1520" s="46" t="str">
        <f aca="false">IF(B1520="","",IF(OR(I1520="",I1520="Open: needs a decision",L1520=""),"Open","Closed"))</f>
        <v/>
      </c>
      <c r="O1520" s="46"/>
      <c r="P1520" s="46" t="str">
        <f aca="false">IF(OR(B1520="",I1520&lt;&gt;"Save for a later revision"),"",IF(COUNTIF('Deferred edits'!$K$2:$K$201,A1520)&gt;0,"Yes","● Add to Deferred edits"))</f>
        <v/>
      </c>
    </row>
    <row r="1521" customFormat="false" ht="15" hidden="false" customHeight="false" outlineLevel="0" collapsed="false">
      <c r="A1521" s="46" t="s">
        <v>1816</v>
      </c>
      <c r="B1521" s="46"/>
      <c r="C1521" s="46"/>
      <c r="D1521" s="46"/>
      <c r="E1521" s="46"/>
      <c r="F1521" s="46"/>
      <c r="G1521" s="46"/>
      <c r="H1521" s="46"/>
      <c r="I1521" s="46"/>
      <c r="J1521" s="46"/>
      <c r="K1521" s="46"/>
      <c r="L1521" s="46"/>
      <c r="M1521" s="46" t="str">
        <f aca="false">IF(OR(B1521="",I1521=""),"",IFERROR(INDEX('Comment flow'!$C$40:$C$46,MATCH(I1521,'Comment flow'!$A$40:$A$46,0)),""))</f>
        <v/>
      </c>
      <c r="N1521" s="46" t="str">
        <f aca="false">IF(B1521="","",IF(OR(I1521="",I1521="Open: needs a decision",L1521=""),"Open","Closed"))</f>
        <v/>
      </c>
      <c r="O1521" s="46"/>
      <c r="P1521" s="46" t="str">
        <f aca="false">IF(OR(B1521="",I1521&lt;&gt;"Save for a later revision"),"",IF(COUNTIF('Deferred edits'!$K$2:$K$201,A1521)&gt;0,"Yes","● Add to Deferred edits"))</f>
        <v/>
      </c>
    </row>
    <row r="1522" customFormat="false" ht="15" hidden="false" customHeight="false" outlineLevel="0" collapsed="false">
      <c r="A1522" s="46" t="s">
        <v>1817</v>
      </c>
      <c r="B1522" s="46"/>
      <c r="C1522" s="46"/>
      <c r="D1522" s="46"/>
      <c r="E1522" s="46"/>
      <c r="F1522" s="46"/>
      <c r="G1522" s="46"/>
      <c r="H1522" s="46"/>
      <c r="I1522" s="46"/>
      <c r="J1522" s="46"/>
      <c r="K1522" s="46"/>
      <c r="L1522" s="46"/>
      <c r="M1522" s="46" t="str">
        <f aca="false">IF(OR(B1522="",I1522=""),"",IFERROR(INDEX('Comment flow'!$C$40:$C$46,MATCH(I1522,'Comment flow'!$A$40:$A$46,0)),""))</f>
        <v/>
      </c>
      <c r="N1522" s="46" t="str">
        <f aca="false">IF(B1522="","",IF(OR(I1522="",I1522="Open: needs a decision",L1522=""),"Open","Closed"))</f>
        <v/>
      </c>
      <c r="O1522" s="46"/>
      <c r="P1522" s="46" t="str">
        <f aca="false">IF(OR(B1522="",I1522&lt;&gt;"Save for a later revision"),"",IF(COUNTIF('Deferred edits'!$K$2:$K$201,A1522)&gt;0,"Yes","● Add to Deferred edits"))</f>
        <v/>
      </c>
    </row>
    <row r="1523" customFormat="false" ht="15" hidden="false" customHeight="false" outlineLevel="0" collapsed="false">
      <c r="A1523" s="46" t="s">
        <v>1818</v>
      </c>
      <c r="B1523" s="46"/>
      <c r="C1523" s="46"/>
      <c r="D1523" s="46"/>
      <c r="E1523" s="46"/>
      <c r="F1523" s="46"/>
      <c r="G1523" s="46"/>
      <c r="H1523" s="46"/>
      <c r="I1523" s="46"/>
      <c r="J1523" s="46"/>
      <c r="K1523" s="46"/>
      <c r="L1523" s="46"/>
      <c r="M1523" s="46" t="str">
        <f aca="false">IF(OR(B1523="",I1523=""),"",IFERROR(INDEX('Comment flow'!$C$40:$C$46,MATCH(I1523,'Comment flow'!$A$40:$A$46,0)),""))</f>
        <v/>
      </c>
      <c r="N1523" s="46" t="str">
        <f aca="false">IF(B1523="","",IF(OR(I1523="",I1523="Open: needs a decision",L1523=""),"Open","Closed"))</f>
        <v/>
      </c>
      <c r="O1523" s="46"/>
      <c r="P1523" s="46" t="str">
        <f aca="false">IF(OR(B1523="",I1523&lt;&gt;"Save for a later revision"),"",IF(COUNTIF('Deferred edits'!$K$2:$K$201,A1523)&gt;0,"Yes","● Add to Deferred edits"))</f>
        <v/>
      </c>
    </row>
    <row r="1524" customFormat="false" ht="15" hidden="false" customHeight="false" outlineLevel="0" collapsed="false">
      <c r="A1524" s="46" t="s">
        <v>1819</v>
      </c>
      <c r="B1524" s="46"/>
      <c r="C1524" s="46"/>
      <c r="D1524" s="46"/>
      <c r="E1524" s="46"/>
      <c r="F1524" s="46"/>
      <c r="G1524" s="46"/>
      <c r="H1524" s="46"/>
      <c r="I1524" s="46"/>
      <c r="J1524" s="46"/>
      <c r="K1524" s="46"/>
      <c r="L1524" s="46"/>
      <c r="M1524" s="46" t="str">
        <f aca="false">IF(OR(B1524="",I1524=""),"",IFERROR(INDEX('Comment flow'!$C$40:$C$46,MATCH(I1524,'Comment flow'!$A$40:$A$46,0)),""))</f>
        <v/>
      </c>
      <c r="N1524" s="46" t="str">
        <f aca="false">IF(B1524="","",IF(OR(I1524="",I1524="Open: needs a decision",L1524=""),"Open","Closed"))</f>
        <v/>
      </c>
      <c r="O1524" s="46"/>
      <c r="P1524" s="46" t="str">
        <f aca="false">IF(OR(B1524="",I1524&lt;&gt;"Save for a later revision"),"",IF(COUNTIF('Deferred edits'!$K$2:$K$201,A1524)&gt;0,"Yes","● Add to Deferred edits"))</f>
        <v/>
      </c>
    </row>
    <row r="1525" customFormat="false" ht="15" hidden="false" customHeight="false" outlineLevel="0" collapsed="false">
      <c r="A1525" s="46" t="s">
        <v>1820</v>
      </c>
      <c r="B1525" s="46"/>
      <c r="C1525" s="46"/>
      <c r="D1525" s="46"/>
      <c r="E1525" s="46"/>
      <c r="F1525" s="46"/>
      <c r="G1525" s="46"/>
      <c r="H1525" s="46"/>
      <c r="I1525" s="46"/>
      <c r="J1525" s="46"/>
      <c r="K1525" s="46"/>
      <c r="L1525" s="46"/>
      <c r="M1525" s="46" t="str">
        <f aca="false">IF(OR(B1525="",I1525=""),"",IFERROR(INDEX('Comment flow'!$C$40:$C$46,MATCH(I1525,'Comment flow'!$A$40:$A$46,0)),""))</f>
        <v/>
      </c>
      <c r="N1525" s="46" t="str">
        <f aca="false">IF(B1525="","",IF(OR(I1525="",I1525="Open: needs a decision",L1525=""),"Open","Closed"))</f>
        <v/>
      </c>
      <c r="O1525" s="46"/>
      <c r="P1525" s="46" t="str">
        <f aca="false">IF(OR(B1525="",I1525&lt;&gt;"Save for a later revision"),"",IF(COUNTIF('Deferred edits'!$K$2:$K$201,A1525)&gt;0,"Yes","● Add to Deferred edits"))</f>
        <v/>
      </c>
    </row>
    <row r="1526" customFormat="false" ht="15" hidden="false" customHeight="false" outlineLevel="0" collapsed="false">
      <c r="A1526" s="46" t="s">
        <v>1821</v>
      </c>
      <c r="B1526" s="46"/>
      <c r="C1526" s="46"/>
      <c r="D1526" s="46"/>
      <c r="E1526" s="46"/>
      <c r="F1526" s="46"/>
      <c r="G1526" s="46"/>
      <c r="H1526" s="46"/>
      <c r="I1526" s="46"/>
      <c r="J1526" s="46"/>
      <c r="K1526" s="46"/>
      <c r="L1526" s="46"/>
      <c r="M1526" s="46" t="str">
        <f aca="false">IF(OR(B1526="",I1526=""),"",IFERROR(INDEX('Comment flow'!$C$40:$C$46,MATCH(I1526,'Comment flow'!$A$40:$A$46,0)),""))</f>
        <v/>
      </c>
      <c r="N1526" s="46" t="str">
        <f aca="false">IF(B1526="","",IF(OR(I1526="",I1526="Open: needs a decision",L1526=""),"Open","Closed"))</f>
        <v/>
      </c>
      <c r="O1526" s="46"/>
      <c r="P1526" s="46" t="str">
        <f aca="false">IF(OR(B1526="",I1526&lt;&gt;"Save for a later revision"),"",IF(COUNTIF('Deferred edits'!$K$2:$K$201,A1526)&gt;0,"Yes","● Add to Deferred edits"))</f>
        <v/>
      </c>
    </row>
    <row r="1527" customFormat="false" ht="15" hidden="false" customHeight="false" outlineLevel="0" collapsed="false">
      <c r="A1527" s="46" t="s">
        <v>1822</v>
      </c>
      <c r="B1527" s="46"/>
      <c r="C1527" s="46"/>
      <c r="D1527" s="46"/>
      <c r="E1527" s="46"/>
      <c r="F1527" s="46"/>
      <c r="G1527" s="46"/>
      <c r="H1527" s="46"/>
      <c r="I1527" s="46"/>
      <c r="J1527" s="46"/>
      <c r="K1527" s="46"/>
      <c r="L1527" s="46"/>
      <c r="M1527" s="46" t="str">
        <f aca="false">IF(OR(B1527="",I1527=""),"",IFERROR(INDEX('Comment flow'!$C$40:$C$46,MATCH(I1527,'Comment flow'!$A$40:$A$46,0)),""))</f>
        <v/>
      </c>
      <c r="N1527" s="46" t="str">
        <f aca="false">IF(B1527="","",IF(OR(I1527="",I1527="Open: needs a decision",L1527=""),"Open","Closed"))</f>
        <v/>
      </c>
      <c r="O1527" s="46"/>
      <c r="P1527" s="46" t="str">
        <f aca="false">IF(OR(B1527="",I1527&lt;&gt;"Save for a later revision"),"",IF(COUNTIF('Deferred edits'!$K$2:$K$201,A1527)&gt;0,"Yes","● Add to Deferred edits"))</f>
        <v/>
      </c>
    </row>
    <row r="1528" customFormat="false" ht="15" hidden="false" customHeight="false" outlineLevel="0" collapsed="false">
      <c r="A1528" s="46" t="s">
        <v>1823</v>
      </c>
      <c r="B1528" s="46"/>
      <c r="C1528" s="46"/>
      <c r="D1528" s="46"/>
      <c r="E1528" s="46"/>
      <c r="F1528" s="46"/>
      <c r="G1528" s="46"/>
      <c r="H1528" s="46"/>
      <c r="I1528" s="46"/>
      <c r="J1528" s="46"/>
      <c r="K1528" s="46"/>
      <c r="L1528" s="46"/>
      <c r="M1528" s="46" t="str">
        <f aca="false">IF(OR(B1528="",I1528=""),"",IFERROR(INDEX('Comment flow'!$C$40:$C$46,MATCH(I1528,'Comment flow'!$A$40:$A$46,0)),""))</f>
        <v/>
      </c>
      <c r="N1528" s="46" t="str">
        <f aca="false">IF(B1528="","",IF(OR(I1528="",I1528="Open: needs a decision",L1528=""),"Open","Closed"))</f>
        <v/>
      </c>
      <c r="O1528" s="46"/>
      <c r="P1528" s="46" t="str">
        <f aca="false">IF(OR(B1528="",I1528&lt;&gt;"Save for a later revision"),"",IF(COUNTIF('Deferred edits'!$K$2:$K$201,A1528)&gt;0,"Yes","● Add to Deferred edits"))</f>
        <v/>
      </c>
    </row>
    <row r="1529" customFormat="false" ht="15" hidden="false" customHeight="false" outlineLevel="0" collapsed="false">
      <c r="A1529" s="46" t="s">
        <v>1824</v>
      </c>
      <c r="B1529" s="46"/>
      <c r="C1529" s="46"/>
      <c r="D1529" s="46"/>
      <c r="E1529" s="46"/>
      <c r="F1529" s="46"/>
      <c r="G1529" s="46"/>
      <c r="H1529" s="46"/>
      <c r="I1529" s="46"/>
      <c r="J1529" s="46"/>
      <c r="K1529" s="46"/>
      <c r="L1529" s="46"/>
      <c r="M1529" s="46" t="str">
        <f aca="false">IF(OR(B1529="",I1529=""),"",IFERROR(INDEX('Comment flow'!$C$40:$C$46,MATCH(I1529,'Comment flow'!$A$40:$A$46,0)),""))</f>
        <v/>
      </c>
      <c r="N1529" s="46" t="str">
        <f aca="false">IF(B1529="","",IF(OR(I1529="",I1529="Open: needs a decision",L1529=""),"Open","Closed"))</f>
        <v/>
      </c>
      <c r="O1529" s="46"/>
      <c r="P1529" s="46" t="str">
        <f aca="false">IF(OR(B1529="",I1529&lt;&gt;"Save for a later revision"),"",IF(COUNTIF('Deferred edits'!$K$2:$K$201,A1529)&gt;0,"Yes","● Add to Deferred edits"))</f>
        <v/>
      </c>
    </row>
    <row r="1530" customFormat="false" ht="15" hidden="false" customHeight="false" outlineLevel="0" collapsed="false">
      <c r="A1530" s="46" t="s">
        <v>1825</v>
      </c>
      <c r="B1530" s="46"/>
      <c r="C1530" s="46"/>
      <c r="D1530" s="46"/>
      <c r="E1530" s="46"/>
      <c r="F1530" s="46"/>
      <c r="G1530" s="46"/>
      <c r="H1530" s="46"/>
      <c r="I1530" s="46"/>
      <c r="J1530" s="46"/>
      <c r="K1530" s="46"/>
      <c r="L1530" s="46"/>
      <c r="M1530" s="46" t="str">
        <f aca="false">IF(OR(B1530="",I1530=""),"",IFERROR(INDEX('Comment flow'!$C$40:$C$46,MATCH(I1530,'Comment flow'!$A$40:$A$46,0)),""))</f>
        <v/>
      </c>
      <c r="N1530" s="46" t="str">
        <f aca="false">IF(B1530="","",IF(OR(I1530="",I1530="Open: needs a decision",L1530=""),"Open","Closed"))</f>
        <v/>
      </c>
      <c r="O1530" s="46"/>
      <c r="P1530" s="46" t="str">
        <f aca="false">IF(OR(B1530="",I1530&lt;&gt;"Save for a later revision"),"",IF(COUNTIF('Deferred edits'!$K$2:$K$201,A1530)&gt;0,"Yes","● Add to Deferred edits"))</f>
        <v/>
      </c>
    </row>
    <row r="1531" customFormat="false" ht="15" hidden="false" customHeight="false" outlineLevel="0" collapsed="false">
      <c r="A1531" s="46" t="s">
        <v>1826</v>
      </c>
      <c r="B1531" s="46"/>
      <c r="C1531" s="46"/>
      <c r="D1531" s="46"/>
      <c r="E1531" s="46"/>
      <c r="F1531" s="46"/>
      <c r="G1531" s="46"/>
      <c r="H1531" s="46"/>
      <c r="I1531" s="46"/>
      <c r="J1531" s="46"/>
      <c r="K1531" s="46"/>
      <c r="L1531" s="46"/>
      <c r="M1531" s="46" t="str">
        <f aca="false">IF(OR(B1531="",I1531=""),"",IFERROR(INDEX('Comment flow'!$C$40:$C$46,MATCH(I1531,'Comment flow'!$A$40:$A$46,0)),""))</f>
        <v/>
      </c>
      <c r="N1531" s="46" t="str">
        <f aca="false">IF(B1531="","",IF(OR(I1531="",I1531="Open: needs a decision",L1531=""),"Open","Closed"))</f>
        <v/>
      </c>
      <c r="O1531" s="46"/>
      <c r="P1531" s="46" t="str">
        <f aca="false">IF(OR(B1531="",I1531&lt;&gt;"Save for a later revision"),"",IF(COUNTIF('Deferred edits'!$K$2:$K$201,A1531)&gt;0,"Yes","● Add to Deferred edits"))</f>
        <v/>
      </c>
    </row>
    <row r="1532" customFormat="false" ht="15" hidden="false" customHeight="false" outlineLevel="0" collapsed="false">
      <c r="A1532" s="46" t="s">
        <v>1827</v>
      </c>
      <c r="B1532" s="46"/>
      <c r="C1532" s="46"/>
      <c r="D1532" s="46"/>
      <c r="E1532" s="46"/>
      <c r="F1532" s="46"/>
      <c r="G1532" s="46"/>
      <c r="H1532" s="46"/>
      <c r="I1532" s="46"/>
      <c r="J1532" s="46"/>
      <c r="K1532" s="46"/>
      <c r="L1532" s="46"/>
      <c r="M1532" s="46" t="str">
        <f aca="false">IF(OR(B1532="",I1532=""),"",IFERROR(INDEX('Comment flow'!$C$40:$C$46,MATCH(I1532,'Comment flow'!$A$40:$A$46,0)),""))</f>
        <v/>
      </c>
      <c r="N1532" s="46" t="str">
        <f aca="false">IF(B1532="","",IF(OR(I1532="",I1532="Open: needs a decision",L1532=""),"Open","Closed"))</f>
        <v/>
      </c>
      <c r="O1532" s="46"/>
      <c r="P1532" s="46" t="str">
        <f aca="false">IF(OR(B1532="",I1532&lt;&gt;"Save for a later revision"),"",IF(COUNTIF('Deferred edits'!$K$2:$K$201,A1532)&gt;0,"Yes","● Add to Deferred edits"))</f>
        <v/>
      </c>
    </row>
    <row r="1533" customFormat="false" ht="15" hidden="false" customHeight="false" outlineLevel="0" collapsed="false">
      <c r="A1533" s="46" t="s">
        <v>1828</v>
      </c>
      <c r="B1533" s="46"/>
      <c r="C1533" s="46"/>
      <c r="D1533" s="46"/>
      <c r="E1533" s="46"/>
      <c r="F1533" s="46"/>
      <c r="G1533" s="46"/>
      <c r="H1533" s="46"/>
      <c r="I1533" s="46"/>
      <c r="J1533" s="46"/>
      <c r="K1533" s="46"/>
      <c r="L1533" s="46"/>
      <c r="M1533" s="46" t="str">
        <f aca="false">IF(OR(B1533="",I1533=""),"",IFERROR(INDEX('Comment flow'!$C$40:$C$46,MATCH(I1533,'Comment flow'!$A$40:$A$46,0)),""))</f>
        <v/>
      </c>
      <c r="N1533" s="46" t="str">
        <f aca="false">IF(B1533="","",IF(OR(I1533="",I1533="Open: needs a decision",L1533=""),"Open","Closed"))</f>
        <v/>
      </c>
      <c r="O1533" s="46"/>
      <c r="P1533" s="46" t="str">
        <f aca="false">IF(OR(B1533="",I1533&lt;&gt;"Save for a later revision"),"",IF(COUNTIF('Deferred edits'!$K$2:$K$201,A1533)&gt;0,"Yes","● Add to Deferred edits"))</f>
        <v/>
      </c>
    </row>
    <row r="1534" customFormat="false" ht="15" hidden="false" customHeight="false" outlineLevel="0" collapsed="false">
      <c r="A1534" s="46" t="s">
        <v>1829</v>
      </c>
      <c r="B1534" s="46"/>
      <c r="C1534" s="46"/>
      <c r="D1534" s="46"/>
      <c r="E1534" s="46"/>
      <c r="F1534" s="46"/>
      <c r="G1534" s="46"/>
      <c r="H1534" s="46"/>
      <c r="I1534" s="46"/>
      <c r="J1534" s="46"/>
      <c r="K1534" s="46"/>
      <c r="L1534" s="46"/>
      <c r="M1534" s="46" t="str">
        <f aca="false">IF(OR(B1534="",I1534=""),"",IFERROR(INDEX('Comment flow'!$C$40:$C$46,MATCH(I1534,'Comment flow'!$A$40:$A$46,0)),""))</f>
        <v/>
      </c>
      <c r="N1534" s="46" t="str">
        <f aca="false">IF(B1534="","",IF(OR(I1534="",I1534="Open: needs a decision",L1534=""),"Open","Closed"))</f>
        <v/>
      </c>
      <c r="O1534" s="46"/>
      <c r="P1534" s="46" t="str">
        <f aca="false">IF(OR(B1534="",I1534&lt;&gt;"Save for a later revision"),"",IF(COUNTIF('Deferred edits'!$K$2:$K$201,A1534)&gt;0,"Yes","● Add to Deferred edits"))</f>
        <v/>
      </c>
    </row>
    <row r="1535" customFormat="false" ht="15" hidden="false" customHeight="false" outlineLevel="0" collapsed="false">
      <c r="A1535" s="46" t="s">
        <v>1830</v>
      </c>
      <c r="B1535" s="46"/>
      <c r="C1535" s="46"/>
      <c r="D1535" s="46"/>
      <c r="E1535" s="46"/>
      <c r="F1535" s="46"/>
      <c r="G1535" s="46"/>
      <c r="H1535" s="46"/>
      <c r="I1535" s="46"/>
      <c r="J1535" s="46"/>
      <c r="K1535" s="46"/>
      <c r="L1535" s="46"/>
      <c r="M1535" s="46" t="str">
        <f aca="false">IF(OR(B1535="",I1535=""),"",IFERROR(INDEX('Comment flow'!$C$40:$C$46,MATCH(I1535,'Comment flow'!$A$40:$A$46,0)),""))</f>
        <v/>
      </c>
      <c r="N1535" s="46" t="str">
        <f aca="false">IF(B1535="","",IF(OR(I1535="",I1535="Open: needs a decision",L1535=""),"Open","Closed"))</f>
        <v/>
      </c>
      <c r="O1535" s="46"/>
      <c r="P1535" s="46" t="str">
        <f aca="false">IF(OR(B1535="",I1535&lt;&gt;"Save for a later revision"),"",IF(COUNTIF('Deferred edits'!$K$2:$K$201,A1535)&gt;0,"Yes","● Add to Deferred edits"))</f>
        <v/>
      </c>
    </row>
    <row r="1536" customFormat="false" ht="15" hidden="false" customHeight="false" outlineLevel="0" collapsed="false">
      <c r="A1536" s="46" t="s">
        <v>1831</v>
      </c>
      <c r="B1536" s="46"/>
      <c r="C1536" s="46"/>
      <c r="D1536" s="46"/>
      <c r="E1536" s="46"/>
      <c r="F1536" s="46"/>
      <c r="G1536" s="46"/>
      <c r="H1536" s="46"/>
      <c r="I1536" s="46"/>
      <c r="J1536" s="46"/>
      <c r="K1536" s="46"/>
      <c r="L1536" s="46"/>
      <c r="M1536" s="46" t="str">
        <f aca="false">IF(OR(B1536="",I1536=""),"",IFERROR(INDEX('Comment flow'!$C$40:$C$46,MATCH(I1536,'Comment flow'!$A$40:$A$46,0)),""))</f>
        <v/>
      </c>
      <c r="N1536" s="46" t="str">
        <f aca="false">IF(B1536="","",IF(OR(I1536="",I1536="Open: needs a decision",L1536=""),"Open","Closed"))</f>
        <v/>
      </c>
      <c r="O1536" s="46"/>
      <c r="P1536" s="46" t="str">
        <f aca="false">IF(OR(B1536="",I1536&lt;&gt;"Save for a later revision"),"",IF(COUNTIF('Deferred edits'!$K$2:$K$201,A1536)&gt;0,"Yes","● Add to Deferred edits"))</f>
        <v/>
      </c>
    </row>
    <row r="1537" customFormat="false" ht="15" hidden="false" customHeight="false" outlineLevel="0" collapsed="false">
      <c r="A1537" s="46" t="s">
        <v>1832</v>
      </c>
      <c r="B1537" s="46"/>
      <c r="C1537" s="46"/>
      <c r="D1537" s="46"/>
      <c r="E1537" s="46"/>
      <c r="F1537" s="46"/>
      <c r="G1537" s="46"/>
      <c r="H1537" s="46"/>
      <c r="I1537" s="46"/>
      <c r="J1537" s="46"/>
      <c r="K1537" s="46"/>
      <c r="L1537" s="46"/>
      <c r="M1537" s="46" t="str">
        <f aca="false">IF(OR(B1537="",I1537=""),"",IFERROR(INDEX('Comment flow'!$C$40:$C$46,MATCH(I1537,'Comment flow'!$A$40:$A$46,0)),""))</f>
        <v/>
      </c>
      <c r="N1537" s="46" t="str">
        <f aca="false">IF(B1537="","",IF(OR(I1537="",I1537="Open: needs a decision",L1537=""),"Open","Closed"))</f>
        <v/>
      </c>
      <c r="O1537" s="46"/>
      <c r="P1537" s="46" t="str">
        <f aca="false">IF(OR(B1537="",I1537&lt;&gt;"Save for a later revision"),"",IF(COUNTIF('Deferred edits'!$K$2:$K$201,A1537)&gt;0,"Yes","● Add to Deferred edits"))</f>
        <v/>
      </c>
    </row>
    <row r="1538" customFormat="false" ht="15" hidden="false" customHeight="false" outlineLevel="0" collapsed="false">
      <c r="A1538" s="46" t="s">
        <v>1833</v>
      </c>
      <c r="B1538" s="46"/>
      <c r="C1538" s="46"/>
      <c r="D1538" s="46"/>
      <c r="E1538" s="46"/>
      <c r="F1538" s="46"/>
      <c r="G1538" s="46"/>
      <c r="H1538" s="46"/>
      <c r="I1538" s="46"/>
      <c r="J1538" s="46"/>
      <c r="K1538" s="46"/>
      <c r="L1538" s="46"/>
      <c r="M1538" s="46" t="str">
        <f aca="false">IF(OR(B1538="",I1538=""),"",IFERROR(INDEX('Comment flow'!$C$40:$C$46,MATCH(I1538,'Comment flow'!$A$40:$A$46,0)),""))</f>
        <v/>
      </c>
      <c r="N1538" s="46" t="str">
        <f aca="false">IF(B1538="","",IF(OR(I1538="",I1538="Open: needs a decision",L1538=""),"Open","Closed"))</f>
        <v/>
      </c>
      <c r="O1538" s="46"/>
      <c r="P1538" s="46" t="str">
        <f aca="false">IF(OR(B1538="",I1538&lt;&gt;"Save for a later revision"),"",IF(COUNTIF('Deferred edits'!$K$2:$K$201,A1538)&gt;0,"Yes","● Add to Deferred edits"))</f>
        <v/>
      </c>
    </row>
    <row r="1539" customFormat="false" ht="15" hidden="false" customHeight="false" outlineLevel="0" collapsed="false">
      <c r="A1539" s="46" t="s">
        <v>1834</v>
      </c>
      <c r="B1539" s="46"/>
      <c r="C1539" s="46"/>
      <c r="D1539" s="46"/>
      <c r="E1539" s="46"/>
      <c r="F1539" s="46"/>
      <c r="G1539" s="46"/>
      <c r="H1539" s="46"/>
      <c r="I1539" s="46"/>
      <c r="J1539" s="46"/>
      <c r="K1539" s="46"/>
      <c r="L1539" s="46"/>
      <c r="M1539" s="46" t="str">
        <f aca="false">IF(OR(B1539="",I1539=""),"",IFERROR(INDEX('Comment flow'!$C$40:$C$46,MATCH(I1539,'Comment flow'!$A$40:$A$46,0)),""))</f>
        <v/>
      </c>
      <c r="N1539" s="46" t="str">
        <f aca="false">IF(B1539="","",IF(OR(I1539="",I1539="Open: needs a decision",L1539=""),"Open","Closed"))</f>
        <v/>
      </c>
      <c r="O1539" s="46"/>
      <c r="P1539" s="46" t="str">
        <f aca="false">IF(OR(B1539="",I1539&lt;&gt;"Save for a later revision"),"",IF(COUNTIF('Deferred edits'!$K$2:$K$201,A1539)&gt;0,"Yes","● Add to Deferred edits"))</f>
        <v/>
      </c>
    </row>
    <row r="1540" customFormat="false" ht="15" hidden="false" customHeight="false" outlineLevel="0" collapsed="false">
      <c r="A1540" s="46" t="s">
        <v>1835</v>
      </c>
      <c r="B1540" s="46"/>
      <c r="C1540" s="46"/>
      <c r="D1540" s="46"/>
      <c r="E1540" s="46"/>
      <c r="F1540" s="46"/>
      <c r="G1540" s="46"/>
      <c r="H1540" s="46"/>
      <c r="I1540" s="46"/>
      <c r="J1540" s="46"/>
      <c r="K1540" s="46"/>
      <c r="L1540" s="46"/>
      <c r="M1540" s="46" t="str">
        <f aca="false">IF(OR(B1540="",I1540=""),"",IFERROR(INDEX('Comment flow'!$C$40:$C$46,MATCH(I1540,'Comment flow'!$A$40:$A$46,0)),""))</f>
        <v/>
      </c>
      <c r="N1540" s="46" t="str">
        <f aca="false">IF(B1540="","",IF(OR(I1540="",I1540="Open: needs a decision",L1540=""),"Open","Closed"))</f>
        <v/>
      </c>
      <c r="O1540" s="46"/>
      <c r="P1540" s="46" t="str">
        <f aca="false">IF(OR(B1540="",I1540&lt;&gt;"Save for a later revision"),"",IF(COUNTIF('Deferred edits'!$K$2:$K$201,A1540)&gt;0,"Yes","● Add to Deferred edits"))</f>
        <v/>
      </c>
    </row>
    <row r="1541" customFormat="false" ht="15" hidden="false" customHeight="false" outlineLevel="0" collapsed="false">
      <c r="A1541" s="46" t="s">
        <v>1836</v>
      </c>
      <c r="B1541" s="46"/>
      <c r="C1541" s="46"/>
      <c r="D1541" s="46"/>
      <c r="E1541" s="46"/>
      <c r="F1541" s="46"/>
      <c r="G1541" s="46"/>
      <c r="H1541" s="46"/>
      <c r="I1541" s="46"/>
      <c r="J1541" s="46"/>
      <c r="K1541" s="46"/>
      <c r="L1541" s="46"/>
      <c r="M1541" s="46" t="str">
        <f aca="false">IF(OR(B1541="",I1541=""),"",IFERROR(INDEX('Comment flow'!$C$40:$C$46,MATCH(I1541,'Comment flow'!$A$40:$A$46,0)),""))</f>
        <v/>
      </c>
      <c r="N1541" s="46" t="str">
        <f aca="false">IF(B1541="","",IF(OR(I1541="",I1541="Open: needs a decision",L1541=""),"Open","Closed"))</f>
        <v/>
      </c>
      <c r="O1541" s="46"/>
      <c r="P1541" s="46" t="str">
        <f aca="false">IF(OR(B1541="",I1541&lt;&gt;"Save for a later revision"),"",IF(COUNTIF('Deferred edits'!$K$2:$K$201,A1541)&gt;0,"Yes","● Add to Deferred edits"))</f>
        <v/>
      </c>
    </row>
    <row r="1542" customFormat="false" ht="15" hidden="false" customHeight="false" outlineLevel="0" collapsed="false">
      <c r="A1542" s="46" t="s">
        <v>1837</v>
      </c>
      <c r="B1542" s="46"/>
      <c r="C1542" s="46"/>
      <c r="D1542" s="46"/>
      <c r="E1542" s="46"/>
      <c r="F1542" s="46"/>
      <c r="G1542" s="46"/>
      <c r="H1542" s="46"/>
      <c r="I1542" s="46"/>
      <c r="J1542" s="46"/>
      <c r="K1542" s="46"/>
      <c r="L1542" s="46"/>
      <c r="M1542" s="46" t="str">
        <f aca="false">IF(OR(B1542="",I1542=""),"",IFERROR(INDEX('Comment flow'!$C$40:$C$46,MATCH(I1542,'Comment flow'!$A$40:$A$46,0)),""))</f>
        <v/>
      </c>
      <c r="N1542" s="46" t="str">
        <f aca="false">IF(B1542="","",IF(OR(I1542="",I1542="Open: needs a decision",L1542=""),"Open","Closed"))</f>
        <v/>
      </c>
      <c r="O1542" s="46"/>
      <c r="P1542" s="46" t="str">
        <f aca="false">IF(OR(B1542="",I1542&lt;&gt;"Save for a later revision"),"",IF(COUNTIF('Deferred edits'!$K$2:$K$201,A1542)&gt;0,"Yes","● Add to Deferred edits"))</f>
        <v/>
      </c>
    </row>
    <row r="1543" customFormat="false" ht="15" hidden="false" customHeight="false" outlineLevel="0" collapsed="false">
      <c r="A1543" s="46" t="s">
        <v>1838</v>
      </c>
      <c r="B1543" s="46"/>
      <c r="C1543" s="46"/>
      <c r="D1543" s="46"/>
      <c r="E1543" s="46"/>
      <c r="F1543" s="46"/>
      <c r="G1543" s="46"/>
      <c r="H1543" s="46"/>
      <c r="I1543" s="46"/>
      <c r="J1543" s="46"/>
      <c r="K1543" s="46"/>
      <c r="L1543" s="46"/>
      <c r="M1543" s="46" t="str">
        <f aca="false">IF(OR(B1543="",I1543=""),"",IFERROR(INDEX('Comment flow'!$C$40:$C$46,MATCH(I1543,'Comment flow'!$A$40:$A$46,0)),""))</f>
        <v/>
      </c>
      <c r="N1543" s="46" t="str">
        <f aca="false">IF(B1543="","",IF(OR(I1543="",I1543="Open: needs a decision",L1543=""),"Open","Closed"))</f>
        <v/>
      </c>
      <c r="O1543" s="46"/>
      <c r="P1543" s="46" t="str">
        <f aca="false">IF(OR(B1543="",I1543&lt;&gt;"Save for a later revision"),"",IF(COUNTIF('Deferred edits'!$K$2:$K$201,A1543)&gt;0,"Yes","● Add to Deferred edits"))</f>
        <v/>
      </c>
    </row>
    <row r="1544" customFormat="false" ht="15" hidden="false" customHeight="false" outlineLevel="0" collapsed="false">
      <c r="A1544" s="46" t="s">
        <v>1839</v>
      </c>
      <c r="B1544" s="46"/>
      <c r="C1544" s="46"/>
      <c r="D1544" s="46"/>
      <c r="E1544" s="46"/>
      <c r="F1544" s="46"/>
      <c r="G1544" s="46"/>
      <c r="H1544" s="46"/>
      <c r="I1544" s="46"/>
      <c r="J1544" s="46"/>
      <c r="K1544" s="46"/>
      <c r="L1544" s="46"/>
      <c r="M1544" s="46" t="str">
        <f aca="false">IF(OR(B1544="",I1544=""),"",IFERROR(INDEX('Comment flow'!$C$40:$C$46,MATCH(I1544,'Comment flow'!$A$40:$A$46,0)),""))</f>
        <v/>
      </c>
      <c r="N1544" s="46" t="str">
        <f aca="false">IF(B1544="","",IF(OR(I1544="",I1544="Open: needs a decision",L1544=""),"Open","Closed"))</f>
        <v/>
      </c>
      <c r="O1544" s="46"/>
      <c r="P1544" s="46" t="str">
        <f aca="false">IF(OR(B1544="",I1544&lt;&gt;"Save for a later revision"),"",IF(COUNTIF('Deferred edits'!$K$2:$K$201,A1544)&gt;0,"Yes","● Add to Deferred edits"))</f>
        <v/>
      </c>
    </row>
    <row r="1545" customFormat="false" ht="15" hidden="false" customHeight="false" outlineLevel="0" collapsed="false">
      <c r="A1545" s="46" t="s">
        <v>1840</v>
      </c>
      <c r="B1545" s="46"/>
      <c r="C1545" s="46"/>
      <c r="D1545" s="46"/>
      <c r="E1545" s="46"/>
      <c r="F1545" s="46"/>
      <c r="G1545" s="46"/>
      <c r="H1545" s="46"/>
      <c r="I1545" s="46"/>
      <c r="J1545" s="46"/>
      <c r="K1545" s="46"/>
      <c r="L1545" s="46"/>
      <c r="M1545" s="46" t="str">
        <f aca="false">IF(OR(B1545="",I1545=""),"",IFERROR(INDEX('Comment flow'!$C$40:$C$46,MATCH(I1545,'Comment flow'!$A$40:$A$46,0)),""))</f>
        <v/>
      </c>
      <c r="N1545" s="46" t="str">
        <f aca="false">IF(B1545="","",IF(OR(I1545="",I1545="Open: needs a decision",L1545=""),"Open","Closed"))</f>
        <v/>
      </c>
      <c r="O1545" s="46"/>
      <c r="P1545" s="46" t="str">
        <f aca="false">IF(OR(B1545="",I1545&lt;&gt;"Save for a later revision"),"",IF(COUNTIF('Deferred edits'!$K$2:$K$201,A1545)&gt;0,"Yes","● Add to Deferred edits"))</f>
        <v/>
      </c>
    </row>
    <row r="1546" customFormat="false" ht="15" hidden="false" customHeight="false" outlineLevel="0" collapsed="false">
      <c r="A1546" s="46" t="s">
        <v>1841</v>
      </c>
      <c r="B1546" s="46"/>
      <c r="C1546" s="46"/>
      <c r="D1546" s="46"/>
      <c r="E1546" s="46"/>
      <c r="F1546" s="46"/>
      <c r="G1546" s="46"/>
      <c r="H1546" s="46"/>
      <c r="I1546" s="46"/>
      <c r="J1546" s="46"/>
      <c r="K1546" s="46"/>
      <c r="L1546" s="46"/>
      <c r="M1546" s="46" t="str">
        <f aca="false">IF(OR(B1546="",I1546=""),"",IFERROR(INDEX('Comment flow'!$C$40:$C$46,MATCH(I1546,'Comment flow'!$A$40:$A$46,0)),""))</f>
        <v/>
      </c>
      <c r="N1546" s="46" t="str">
        <f aca="false">IF(B1546="","",IF(OR(I1546="",I1546="Open: needs a decision",L1546=""),"Open","Closed"))</f>
        <v/>
      </c>
      <c r="O1546" s="46"/>
      <c r="P1546" s="46" t="str">
        <f aca="false">IF(OR(B1546="",I1546&lt;&gt;"Save for a later revision"),"",IF(COUNTIF('Deferred edits'!$K$2:$K$201,A1546)&gt;0,"Yes","● Add to Deferred edits"))</f>
        <v/>
      </c>
    </row>
    <row r="1547" customFormat="false" ht="15" hidden="false" customHeight="false" outlineLevel="0" collapsed="false">
      <c r="A1547" s="46" t="s">
        <v>1842</v>
      </c>
      <c r="B1547" s="46"/>
      <c r="C1547" s="46"/>
      <c r="D1547" s="46"/>
      <c r="E1547" s="46"/>
      <c r="F1547" s="46"/>
      <c r="G1547" s="46"/>
      <c r="H1547" s="46"/>
      <c r="I1547" s="46"/>
      <c r="J1547" s="46"/>
      <c r="K1547" s="46"/>
      <c r="L1547" s="46"/>
      <c r="M1547" s="46" t="str">
        <f aca="false">IF(OR(B1547="",I1547=""),"",IFERROR(INDEX('Comment flow'!$C$40:$C$46,MATCH(I1547,'Comment flow'!$A$40:$A$46,0)),""))</f>
        <v/>
      </c>
      <c r="N1547" s="46" t="str">
        <f aca="false">IF(B1547="","",IF(OR(I1547="",I1547="Open: needs a decision",L1547=""),"Open","Closed"))</f>
        <v/>
      </c>
      <c r="O1547" s="46"/>
      <c r="P1547" s="46" t="str">
        <f aca="false">IF(OR(B1547="",I1547&lt;&gt;"Save for a later revision"),"",IF(COUNTIF('Deferred edits'!$K$2:$K$201,A1547)&gt;0,"Yes","● Add to Deferred edits"))</f>
        <v/>
      </c>
    </row>
    <row r="1548" customFormat="false" ht="15" hidden="false" customHeight="false" outlineLevel="0" collapsed="false">
      <c r="A1548" s="46" t="s">
        <v>1843</v>
      </c>
      <c r="B1548" s="46"/>
      <c r="C1548" s="46"/>
      <c r="D1548" s="46"/>
      <c r="E1548" s="46"/>
      <c r="F1548" s="46"/>
      <c r="G1548" s="46"/>
      <c r="H1548" s="46"/>
      <c r="I1548" s="46"/>
      <c r="J1548" s="46"/>
      <c r="K1548" s="46"/>
      <c r="L1548" s="46"/>
      <c r="M1548" s="46" t="str">
        <f aca="false">IF(OR(B1548="",I1548=""),"",IFERROR(INDEX('Comment flow'!$C$40:$C$46,MATCH(I1548,'Comment flow'!$A$40:$A$46,0)),""))</f>
        <v/>
      </c>
      <c r="N1548" s="46" t="str">
        <f aca="false">IF(B1548="","",IF(OR(I1548="",I1548="Open: needs a decision",L1548=""),"Open","Closed"))</f>
        <v/>
      </c>
      <c r="O1548" s="46"/>
      <c r="P1548" s="46" t="str">
        <f aca="false">IF(OR(B1548="",I1548&lt;&gt;"Save for a later revision"),"",IF(COUNTIF('Deferred edits'!$K$2:$K$201,A1548)&gt;0,"Yes","● Add to Deferred edits"))</f>
        <v/>
      </c>
    </row>
    <row r="1549" customFormat="false" ht="15" hidden="false" customHeight="false" outlineLevel="0" collapsed="false">
      <c r="A1549" s="46" t="s">
        <v>1844</v>
      </c>
      <c r="B1549" s="46"/>
      <c r="C1549" s="46"/>
      <c r="D1549" s="46"/>
      <c r="E1549" s="46"/>
      <c r="F1549" s="46"/>
      <c r="G1549" s="46"/>
      <c r="H1549" s="46"/>
      <c r="I1549" s="46"/>
      <c r="J1549" s="46"/>
      <c r="K1549" s="46"/>
      <c r="L1549" s="46"/>
      <c r="M1549" s="46" t="str">
        <f aca="false">IF(OR(B1549="",I1549=""),"",IFERROR(INDEX('Comment flow'!$C$40:$C$46,MATCH(I1549,'Comment flow'!$A$40:$A$46,0)),""))</f>
        <v/>
      </c>
      <c r="N1549" s="46" t="str">
        <f aca="false">IF(B1549="","",IF(OR(I1549="",I1549="Open: needs a decision",L1549=""),"Open","Closed"))</f>
        <v/>
      </c>
      <c r="O1549" s="46"/>
      <c r="P1549" s="46" t="str">
        <f aca="false">IF(OR(B1549="",I1549&lt;&gt;"Save for a later revision"),"",IF(COUNTIF('Deferred edits'!$K$2:$K$201,A1549)&gt;0,"Yes","● Add to Deferred edits"))</f>
        <v/>
      </c>
    </row>
    <row r="1550" customFormat="false" ht="15" hidden="false" customHeight="false" outlineLevel="0" collapsed="false">
      <c r="A1550" s="46" t="s">
        <v>1845</v>
      </c>
      <c r="B1550" s="46"/>
      <c r="C1550" s="46"/>
      <c r="D1550" s="46"/>
      <c r="E1550" s="46"/>
      <c r="F1550" s="46"/>
      <c r="G1550" s="46"/>
      <c r="H1550" s="46"/>
      <c r="I1550" s="46"/>
      <c r="J1550" s="46"/>
      <c r="K1550" s="46"/>
      <c r="L1550" s="46"/>
      <c r="M1550" s="46" t="str">
        <f aca="false">IF(OR(B1550="",I1550=""),"",IFERROR(INDEX('Comment flow'!$C$40:$C$46,MATCH(I1550,'Comment flow'!$A$40:$A$46,0)),""))</f>
        <v/>
      </c>
      <c r="N1550" s="46" t="str">
        <f aca="false">IF(B1550="","",IF(OR(I1550="",I1550="Open: needs a decision",L1550=""),"Open","Closed"))</f>
        <v/>
      </c>
      <c r="O1550" s="46"/>
      <c r="P1550" s="46" t="str">
        <f aca="false">IF(OR(B1550="",I1550&lt;&gt;"Save for a later revision"),"",IF(COUNTIF('Deferred edits'!$K$2:$K$201,A1550)&gt;0,"Yes","● Add to Deferred edits"))</f>
        <v/>
      </c>
    </row>
    <row r="1551" customFormat="false" ht="15" hidden="false" customHeight="false" outlineLevel="0" collapsed="false">
      <c r="A1551" s="46" t="s">
        <v>1846</v>
      </c>
      <c r="B1551" s="46"/>
      <c r="C1551" s="46"/>
      <c r="D1551" s="46"/>
      <c r="E1551" s="46"/>
      <c r="F1551" s="46"/>
      <c r="G1551" s="46"/>
      <c r="H1551" s="46"/>
      <c r="I1551" s="46"/>
      <c r="J1551" s="46"/>
      <c r="K1551" s="46"/>
      <c r="L1551" s="46"/>
      <c r="M1551" s="46" t="str">
        <f aca="false">IF(OR(B1551="",I1551=""),"",IFERROR(INDEX('Comment flow'!$C$40:$C$46,MATCH(I1551,'Comment flow'!$A$40:$A$46,0)),""))</f>
        <v/>
      </c>
      <c r="N1551" s="46" t="str">
        <f aca="false">IF(B1551="","",IF(OR(I1551="",I1551="Open: needs a decision",L1551=""),"Open","Closed"))</f>
        <v/>
      </c>
      <c r="O1551" s="46"/>
      <c r="P1551" s="46" t="str">
        <f aca="false">IF(OR(B1551="",I1551&lt;&gt;"Save for a later revision"),"",IF(COUNTIF('Deferred edits'!$K$2:$K$201,A1551)&gt;0,"Yes","● Add to Deferred edits"))</f>
        <v/>
      </c>
    </row>
    <row r="1552" customFormat="false" ht="15" hidden="false" customHeight="false" outlineLevel="0" collapsed="false">
      <c r="A1552" s="46" t="s">
        <v>1847</v>
      </c>
      <c r="B1552" s="46"/>
      <c r="C1552" s="46"/>
      <c r="D1552" s="46"/>
      <c r="E1552" s="46"/>
      <c r="F1552" s="46"/>
      <c r="G1552" s="46"/>
      <c r="H1552" s="46"/>
      <c r="I1552" s="46"/>
      <c r="J1552" s="46"/>
      <c r="K1552" s="46"/>
      <c r="L1552" s="46"/>
      <c r="M1552" s="46" t="str">
        <f aca="false">IF(OR(B1552="",I1552=""),"",IFERROR(INDEX('Comment flow'!$C$40:$C$46,MATCH(I1552,'Comment flow'!$A$40:$A$46,0)),""))</f>
        <v/>
      </c>
      <c r="N1552" s="46" t="str">
        <f aca="false">IF(B1552="","",IF(OR(I1552="",I1552="Open: needs a decision",L1552=""),"Open","Closed"))</f>
        <v/>
      </c>
      <c r="O1552" s="46"/>
      <c r="P1552" s="46" t="str">
        <f aca="false">IF(OR(B1552="",I1552&lt;&gt;"Save for a later revision"),"",IF(COUNTIF('Deferred edits'!$K$2:$K$201,A1552)&gt;0,"Yes","● Add to Deferred edits"))</f>
        <v/>
      </c>
    </row>
    <row r="1553" customFormat="false" ht="15" hidden="false" customHeight="false" outlineLevel="0" collapsed="false">
      <c r="A1553" s="46" t="s">
        <v>1848</v>
      </c>
      <c r="B1553" s="46"/>
      <c r="C1553" s="46"/>
      <c r="D1553" s="46"/>
      <c r="E1553" s="46"/>
      <c r="F1553" s="46"/>
      <c r="G1553" s="46"/>
      <c r="H1553" s="46"/>
      <c r="I1553" s="46"/>
      <c r="J1553" s="46"/>
      <c r="K1553" s="46"/>
      <c r="L1553" s="46"/>
      <c r="M1553" s="46" t="str">
        <f aca="false">IF(OR(B1553="",I1553=""),"",IFERROR(INDEX('Comment flow'!$C$40:$C$46,MATCH(I1553,'Comment flow'!$A$40:$A$46,0)),""))</f>
        <v/>
      </c>
      <c r="N1553" s="46" t="str">
        <f aca="false">IF(B1553="","",IF(OR(I1553="",I1553="Open: needs a decision",L1553=""),"Open","Closed"))</f>
        <v/>
      </c>
      <c r="O1553" s="46"/>
      <c r="P1553" s="46" t="str">
        <f aca="false">IF(OR(B1553="",I1553&lt;&gt;"Save for a later revision"),"",IF(COUNTIF('Deferred edits'!$K$2:$K$201,A1553)&gt;0,"Yes","● Add to Deferred edits"))</f>
        <v/>
      </c>
    </row>
    <row r="1554" customFormat="false" ht="15" hidden="false" customHeight="false" outlineLevel="0" collapsed="false">
      <c r="A1554" s="46" t="s">
        <v>1849</v>
      </c>
      <c r="B1554" s="46"/>
      <c r="C1554" s="46"/>
      <c r="D1554" s="46"/>
      <c r="E1554" s="46"/>
      <c r="F1554" s="46"/>
      <c r="G1554" s="46"/>
      <c r="H1554" s="46"/>
      <c r="I1554" s="46"/>
      <c r="J1554" s="46"/>
      <c r="K1554" s="46"/>
      <c r="L1554" s="46"/>
      <c r="M1554" s="46" t="str">
        <f aca="false">IF(OR(B1554="",I1554=""),"",IFERROR(INDEX('Comment flow'!$C$40:$C$46,MATCH(I1554,'Comment flow'!$A$40:$A$46,0)),""))</f>
        <v/>
      </c>
      <c r="N1554" s="46" t="str">
        <f aca="false">IF(B1554="","",IF(OR(I1554="",I1554="Open: needs a decision",L1554=""),"Open","Closed"))</f>
        <v/>
      </c>
      <c r="O1554" s="46"/>
      <c r="P1554" s="46" t="str">
        <f aca="false">IF(OR(B1554="",I1554&lt;&gt;"Save for a later revision"),"",IF(COUNTIF('Deferred edits'!$K$2:$K$201,A1554)&gt;0,"Yes","● Add to Deferred edits"))</f>
        <v/>
      </c>
    </row>
    <row r="1555" customFormat="false" ht="15" hidden="false" customHeight="false" outlineLevel="0" collapsed="false">
      <c r="A1555" s="46" t="s">
        <v>1850</v>
      </c>
      <c r="B1555" s="46"/>
      <c r="C1555" s="46"/>
      <c r="D1555" s="46"/>
      <c r="E1555" s="46"/>
      <c r="F1555" s="46"/>
      <c r="G1555" s="46"/>
      <c r="H1555" s="46"/>
      <c r="I1555" s="46"/>
      <c r="J1555" s="46"/>
      <c r="K1555" s="46"/>
      <c r="L1555" s="46"/>
      <c r="M1555" s="46" t="str">
        <f aca="false">IF(OR(B1555="",I1555=""),"",IFERROR(INDEX('Comment flow'!$C$40:$C$46,MATCH(I1555,'Comment flow'!$A$40:$A$46,0)),""))</f>
        <v/>
      </c>
      <c r="N1555" s="46" t="str">
        <f aca="false">IF(B1555="","",IF(OR(I1555="",I1555="Open: needs a decision",L1555=""),"Open","Closed"))</f>
        <v/>
      </c>
      <c r="O1555" s="46"/>
      <c r="P1555" s="46" t="str">
        <f aca="false">IF(OR(B1555="",I1555&lt;&gt;"Save for a later revision"),"",IF(COUNTIF('Deferred edits'!$K$2:$K$201,A1555)&gt;0,"Yes","● Add to Deferred edits"))</f>
        <v/>
      </c>
    </row>
    <row r="1556" customFormat="false" ht="15" hidden="false" customHeight="false" outlineLevel="0" collapsed="false">
      <c r="A1556" s="46" t="s">
        <v>1851</v>
      </c>
      <c r="B1556" s="46"/>
      <c r="C1556" s="46"/>
      <c r="D1556" s="46"/>
      <c r="E1556" s="46"/>
      <c r="F1556" s="46"/>
      <c r="G1556" s="46"/>
      <c r="H1556" s="46"/>
      <c r="I1556" s="46"/>
      <c r="J1556" s="46"/>
      <c r="K1556" s="46"/>
      <c r="L1556" s="46"/>
      <c r="M1556" s="46" t="str">
        <f aca="false">IF(OR(B1556="",I1556=""),"",IFERROR(INDEX('Comment flow'!$C$40:$C$46,MATCH(I1556,'Comment flow'!$A$40:$A$46,0)),""))</f>
        <v/>
      </c>
      <c r="N1556" s="46" t="str">
        <f aca="false">IF(B1556="","",IF(OR(I1556="",I1556="Open: needs a decision",L1556=""),"Open","Closed"))</f>
        <v/>
      </c>
      <c r="O1556" s="46"/>
      <c r="P1556" s="46" t="str">
        <f aca="false">IF(OR(B1556="",I1556&lt;&gt;"Save for a later revision"),"",IF(COUNTIF('Deferred edits'!$K$2:$K$201,A1556)&gt;0,"Yes","● Add to Deferred edits"))</f>
        <v/>
      </c>
    </row>
    <row r="1557" customFormat="false" ht="15" hidden="false" customHeight="false" outlineLevel="0" collapsed="false">
      <c r="A1557" s="46" t="s">
        <v>1852</v>
      </c>
      <c r="B1557" s="46"/>
      <c r="C1557" s="46"/>
      <c r="D1557" s="46"/>
      <c r="E1557" s="46"/>
      <c r="F1557" s="46"/>
      <c r="G1557" s="46"/>
      <c r="H1557" s="46"/>
      <c r="I1557" s="46"/>
      <c r="J1557" s="46"/>
      <c r="K1557" s="46"/>
      <c r="L1557" s="46"/>
      <c r="M1557" s="46" t="str">
        <f aca="false">IF(OR(B1557="",I1557=""),"",IFERROR(INDEX('Comment flow'!$C$40:$C$46,MATCH(I1557,'Comment flow'!$A$40:$A$46,0)),""))</f>
        <v/>
      </c>
      <c r="N1557" s="46" t="str">
        <f aca="false">IF(B1557="","",IF(OR(I1557="",I1557="Open: needs a decision",L1557=""),"Open","Closed"))</f>
        <v/>
      </c>
      <c r="O1557" s="46"/>
      <c r="P1557" s="46" t="str">
        <f aca="false">IF(OR(B1557="",I1557&lt;&gt;"Save for a later revision"),"",IF(COUNTIF('Deferred edits'!$K$2:$K$201,A1557)&gt;0,"Yes","● Add to Deferred edits"))</f>
        <v/>
      </c>
    </row>
    <row r="1558" customFormat="false" ht="15" hidden="false" customHeight="false" outlineLevel="0" collapsed="false">
      <c r="A1558" s="46" t="s">
        <v>1853</v>
      </c>
      <c r="B1558" s="46"/>
      <c r="C1558" s="46"/>
      <c r="D1558" s="46"/>
      <c r="E1558" s="46"/>
      <c r="F1558" s="46"/>
      <c r="G1558" s="46"/>
      <c r="H1558" s="46"/>
      <c r="I1558" s="46"/>
      <c r="J1558" s="46"/>
      <c r="K1558" s="46"/>
      <c r="L1558" s="46"/>
      <c r="M1558" s="46" t="str">
        <f aca="false">IF(OR(B1558="",I1558=""),"",IFERROR(INDEX('Comment flow'!$C$40:$C$46,MATCH(I1558,'Comment flow'!$A$40:$A$46,0)),""))</f>
        <v/>
      </c>
      <c r="N1558" s="46" t="str">
        <f aca="false">IF(B1558="","",IF(OR(I1558="",I1558="Open: needs a decision",L1558=""),"Open","Closed"))</f>
        <v/>
      </c>
      <c r="O1558" s="46"/>
      <c r="P1558" s="46" t="str">
        <f aca="false">IF(OR(B1558="",I1558&lt;&gt;"Save for a later revision"),"",IF(COUNTIF('Deferred edits'!$K$2:$K$201,A1558)&gt;0,"Yes","● Add to Deferred edits"))</f>
        <v/>
      </c>
    </row>
    <row r="1559" customFormat="false" ht="15" hidden="false" customHeight="false" outlineLevel="0" collapsed="false">
      <c r="A1559" s="46" t="s">
        <v>1854</v>
      </c>
      <c r="B1559" s="46"/>
      <c r="C1559" s="46"/>
      <c r="D1559" s="46"/>
      <c r="E1559" s="46"/>
      <c r="F1559" s="46"/>
      <c r="G1559" s="46"/>
      <c r="H1559" s="46"/>
      <c r="I1559" s="46"/>
      <c r="J1559" s="46"/>
      <c r="K1559" s="46"/>
      <c r="L1559" s="46"/>
      <c r="M1559" s="46" t="str">
        <f aca="false">IF(OR(B1559="",I1559=""),"",IFERROR(INDEX('Comment flow'!$C$40:$C$46,MATCH(I1559,'Comment flow'!$A$40:$A$46,0)),""))</f>
        <v/>
      </c>
      <c r="N1559" s="46" t="str">
        <f aca="false">IF(B1559="","",IF(OR(I1559="",I1559="Open: needs a decision",L1559=""),"Open","Closed"))</f>
        <v/>
      </c>
      <c r="O1559" s="46"/>
      <c r="P1559" s="46" t="str">
        <f aca="false">IF(OR(B1559="",I1559&lt;&gt;"Save for a later revision"),"",IF(COUNTIF('Deferred edits'!$K$2:$K$201,A1559)&gt;0,"Yes","● Add to Deferred edits"))</f>
        <v/>
      </c>
    </row>
    <row r="1560" customFormat="false" ht="15" hidden="false" customHeight="false" outlineLevel="0" collapsed="false">
      <c r="A1560" s="46" t="s">
        <v>1855</v>
      </c>
      <c r="B1560" s="46"/>
      <c r="C1560" s="46"/>
      <c r="D1560" s="46"/>
      <c r="E1560" s="46"/>
      <c r="F1560" s="46"/>
      <c r="G1560" s="46"/>
      <c r="H1560" s="46"/>
      <c r="I1560" s="46"/>
      <c r="J1560" s="46"/>
      <c r="K1560" s="46"/>
      <c r="L1560" s="46"/>
      <c r="M1560" s="46" t="str">
        <f aca="false">IF(OR(B1560="",I1560=""),"",IFERROR(INDEX('Comment flow'!$C$40:$C$46,MATCH(I1560,'Comment flow'!$A$40:$A$46,0)),""))</f>
        <v/>
      </c>
      <c r="N1560" s="46" t="str">
        <f aca="false">IF(B1560="","",IF(OR(I1560="",I1560="Open: needs a decision",L1560=""),"Open","Closed"))</f>
        <v/>
      </c>
      <c r="O1560" s="46"/>
      <c r="P1560" s="46" t="str">
        <f aca="false">IF(OR(B1560="",I1560&lt;&gt;"Save for a later revision"),"",IF(COUNTIF('Deferred edits'!$K$2:$K$201,A1560)&gt;0,"Yes","● Add to Deferred edits"))</f>
        <v/>
      </c>
    </row>
    <row r="1561" customFormat="false" ht="15" hidden="false" customHeight="false" outlineLevel="0" collapsed="false">
      <c r="A1561" s="46" t="s">
        <v>1856</v>
      </c>
      <c r="B1561" s="46"/>
      <c r="C1561" s="46"/>
      <c r="D1561" s="46"/>
      <c r="E1561" s="46"/>
      <c r="F1561" s="46"/>
      <c r="G1561" s="46"/>
      <c r="H1561" s="46"/>
      <c r="I1561" s="46"/>
      <c r="J1561" s="46"/>
      <c r="K1561" s="46"/>
      <c r="L1561" s="46"/>
      <c r="M1561" s="46" t="str">
        <f aca="false">IF(OR(B1561="",I1561=""),"",IFERROR(INDEX('Comment flow'!$C$40:$C$46,MATCH(I1561,'Comment flow'!$A$40:$A$46,0)),""))</f>
        <v/>
      </c>
      <c r="N1561" s="46" t="str">
        <f aca="false">IF(B1561="","",IF(OR(I1561="",I1561="Open: needs a decision",L1561=""),"Open","Closed"))</f>
        <v/>
      </c>
      <c r="O1561" s="46"/>
      <c r="P1561" s="46" t="str">
        <f aca="false">IF(OR(B1561="",I1561&lt;&gt;"Save for a later revision"),"",IF(COUNTIF('Deferred edits'!$K$2:$K$201,A1561)&gt;0,"Yes","● Add to Deferred edits"))</f>
        <v/>
      </c>
    </row>
    <row r="1562" customFormat="false" ht="15" hidden="false" customHeight="false" outlineLevel="0" collapsed="false">
      <c r="A1562" s="46" t="s">
        <v>1857</v>
      </c>
      <c r="B1562" s="46"/>
      <c r="C1562" s="46"/>
      <c r="D1562" s="46"/>
      <c r="E1562" s="46"/>
      <c r="F1562" s="46"/>
      <c r="G1562" s="46"/>
      <c r="H1562" s="46"/>
      <c r="I1562" s="46"/>
      <c r="J1562" s="46"/>
      <c r="K1562" s="46"/>
      <c r="L1562" s="46"/>
      <c r="M1562" s="46" t="str">
        <f aca="false">IF(OR(B1562="",I1562=""),"",IFERROR(INDEX('Comment flow'!$C$40:$C$46,MATCH(I1562,'Comment flow'!$A$40:$A$46,0)),""))</f>
        <v/>
      </c>
      <c r="N1562" s="46" t="str">
        <f aca="false">IF(B1562="","",IF(OR(I1562="",I1562="Open: needs a decision",L1562=""),"Open","Closed"))</f>
        <v/>
      </c>
      <c r="O1562" s="46"/>
      <c r="P1562" s="46" t="str">
        <f aca="false">IF(OR(B1562="",I1562&lt;&gt;"Save for a later revision"),"",IF(COUNTIF('Deferred edits'!$K$2:$K$201,A1562)&gt;0,"Yes","● Add to Deferred edits"))</f>
        <v/>
      </c>
    </row>
    <row r="1563" customFormat="false" ht="15" hidden="false" customHeight="false" outlineLevel="0" collapsed="false">
      <c r="A1563" s="46" t="s">
        <v>1858</v>
      </c>
      <c r="B1563" s="46"/>
      <c r="C1563" s="46"/>
      <c r="D1563" s="46"/>
      <c r="E1563" s="46"/>
      <c r="F1563" s="46"/>
      <c r="G1563" s="46"/>
      <c r="H1563" s="46"/>
      <c r="I1563" s="46"/>
      <c r="J1563" s="46"/>
      <c r="K1563" s="46"/>
      <c r="L1563" s="46"/>
      <c r="M1563" s="46" t="str">
        <f aca="false">IF(OR(B1563="",I1563=""),"",IFERROR(INDEX('Comment flow'!$C$40:$C$46,MATCH(I1563,'Comment flow'!$A$40:$A$46,0)),""))</f>
        <v/>
      </c>
      <c r="N1563" s="46" t="str">
        <f aca="false">IF(B1563="","",IF(OR(I1563="",I1563="Open: needs a decision",L1563=""),"Open","Closed"))</f>
        <v/>
      </c>
      <c r="O1563" s="46"/>
      <c r="P1563" s="46" t="str">
        <f aca="false">IF(OR(B1563="",I1563&lt;&gt;"Save for a later revision"),"",IF(COUNTIF('Deferred edits'!$K$2:$K$201,A1563)&gt;0,"Yes","● Add to Deferred edits"))</f>
        <v/>
      </c>
    </row>
    <row r="1564" customFormat="false" ht="15" hidden="false" customHeight="false" outlineLevel="0" collapsed="false">
      <c r="A1564" s="46" t="s">
        <v>1859</v>
      </c>
      <c r="B1564" s="46"/>
      <c r="C1564" s="46"/>
      <c r="D1564" s="46"/>
      <c r="E1564" s="46"/>
      <c r="F1564" s="46"/>
      <c r="G1564" s="46"/>
      <c r="H1564" s="46"/>
      <c r="I1564" s="46"/>
      <c r="J1564" s="46"/>
      <c r="K1564" s="46"/>
      <c r="L1564" s="46"/>
      <c r="M1564" s="46" t="str">
        <f aca="false">IF(OR(B1564="",I1564=""),"",IFERROR(INDEX('Comment flow'!$C$40:$C$46,MATCH(I1564,'Comment flow'!$A$40:$A$46,0)),""))</f>
        <v/>
      </c>
      <c r="N1564" s="46" t="str">
        <f aca="false">IF(B1564="","",IF(OR(I1564="",I1564="Open: needs a decision",L1564=""),"Open","Closed"))</f>
        <v/>
      </c>
      <c r="O1564" s="46"/>
      <c r="P1564" s="46" t="str">
        <f aca="false">IF(OR(B1564="",I1564&lt;&gt;"Save for a later revision"),"",IF(COUNTIF('Deferred edits'!$K$2:$K$201,A1564)&gt;0,"Yes","● Add to Deferred edits"))</f>
        <v/>
      </c>
    </row>
    <row r="1565" customFormat="false" ht="15" hidden="false" customHeight="false" outlineLevel="0" collapsed="false">
      <c r="A1565" s="46" t="s">
        <v>1860</v>
      </c>
      <c r="B1565" s="46"/>
      <c r="C1565" s="46"/>
      <c r="D1565" s="46"/>
      <c r="E1565" s="46"/>
      <c r="F1565" s="46"/>
      <c r="G1565" s="46"/>
      <c r="H1565" s="46"/>
      <c r="I1565" s="46"/>
      <c r="J1565" s="46"/>
      <c r="K1565" s="46"/>
      <c r="L1565" s="46"/>
      <c r="M1565" s="46" t="str">
        <f aca="false">IF(OR(B1565="",I1565=""),"",IFERROR(INDEX('Comment flow'!$C$40:$C$46,MATCH(I1565,'Comment flow'!$A$40:$A$46,0)),""))</f>
        <v/>
      </c>
      <c r="N1565" s="46" t="str">
        <f aca="false">IF(B1565="","",IF(OR(I1565="",I1565="Open: needs a decision",L1565=""),"Open","Closed"))</f>
        <v/>
      </c>
      <c r="O1565" s="46"/>
      <c r="P1565" s="46" t="str">
        <f aca="false">IF(OR(B1565="",I1565&lt;&gt;"Save for a later revision"),"",IF(COUNTIF('Deferred edits'!$K$2:$K$201,A1565)&gt;0,"Yes","● Add to Deferred edits"))</f>
        <v/>
      </c>
    </row>
    <row r="1566" customFormat="false" ht="15" hidden="false" customHeight="false" outlineLevel="0" collapsed="false">
      <c r="A1566" s="46" t="s">
        <v>1861</v>
      </c>
      <c r="B1566" s="46"/>
      <c r="C1566" s="46"/>
      <c r="D1566" s="46"/>
      <c r="E1566" s="46"/>
      <c r="F1566" s="46"/>
      <c r="G1566" s="46"/>
      <c r="H1566" s="46"/>
      <c r="I1566" s="46"/>
      <c r="J1566" s="46"/>
      <c r="K1566" s="46"/>
      <c r="L1566" s="46"/>
      <c r="M1566" s="46" t="str">
        <f aca="false">IF(OR(B1566="",I1566=""),"",IFERROR(INDEX('Comment flow'!$C$40:$C$46,MATCH(I1566,'Comment flow'!$A$40:$A$46,0)),""))</f>
        <v/>
      </c>
      <c r="N1566" s="46" t="str">
        <f aca="false">IF(B1566="","",IF(OR(I1566="",I1566="Open: needs a decision",L1566=""),"Open","Closed"))</f>
        <v/>
      </c>
      <c r="O1566" s="46"/>
      <c r="P1566" s="46" t="str">
        <f aca="false">IF(OR(B1566="",I1566&lt;&gt;"Save for a later revision"),"",IF(COUNTIF('Deferred edits'!$K$2:$K$201,A1566)&gt;0,"Yes","● Add to Deferred edits"))</f>
        <v/>
      </c>
    </row>
    <row r="1567" customFormat="false" ht="15" hidden="false" customHeight="false" outlineLevel="0" collapsed="false">
      <c r="A1567" s="46" t="s">
        <v>1862</v>
      </c>
      <c r="B1567" s="46"/>
      <c r="C1567" s="46"/>
      <c r="D1567" s="46"/>
      <c r="E1567" s="46"/>
      <c r="F1567" s="46"/>
      <c r="G1567" s="46"/>
      <c r="H1567" s="46"/>
      <c r="I1567" s="46"/>
      <c r="J1567" s="46"/>
      <c r="K1567" s="46"/>
      <c r="L1567" s="46"/>
      <c r="M1567" s="46" t="str">
        <f aca="false">IF(OR(B1567="",I1567=""),"",IFERROR(INDEX('Comment flow'!$C$40:$C$46,MATCH(I1567,'Comment flow'!$A$40:$A$46,0)),""))</f>
        <v/>
      </c>
      <c r="N1567" s="46" t="str">
        <f aca="false">IF(B1567="","",IF(OR(I1567="",I1567="Open: needs a decision",L1567=""),"Open","Closed"))</f>
        <v/>
      </c>
      <c r="O1567" s="46"/>
      <c r="P1567" s="46" t="str">
        <f aca="false">IF(OR(B1567="",I1567&lt;&gt;"Save for a later revision"),"",IF(COUNTIF('Deferred edits'!$K$2:$K$201,A1567)&gt;0,"Yes","● Add to Deferred edits"))</f>
        <v/>
      </c>
    </row>
    <row r="1568" customFormat="false" ht="15" hidden="false" customHeight="false" outlineLevel="0" collapsed="false">
      <c r="A1568" s="46" t="s">
        <v>1863</v>
      </c>
      <c r="B1568" s="46"/>
      <c r="C1568" s="46"/>
      <c r="D1568" s="46"/>
      <c r="E1568" s="46"/>
      <c r="F1568" s="46"/>
      <c r="G1568" s="46"/>
      <c r="H1568" s="46"/>
      <c r="I1568" s="46"/>
      <c r="J1568" s="46"/>
      <c r="K1568" s="46"/>
      <c r="L1568" s="46"/>
      <c r="M1568" s="46" t="str">
        <f aca="false">IF(OR(B1568="",I1568=""),"",IFERROR(INDEX('Comment flow'!$C$40:$C$46,MATCH(I1568,'Comment flow'!$A$40:$A$46,0)),""))</f>
        <v/>
      </c>
      <c r="N1568" s="46" t="str">
        <f aca="false">IF(B1568="","",IF(OR(I1568="",I1568="Open: needs a decision",L1568=""),"Open","Closed"))</f>
        <v/>
      </c>
      <c r="O1568" s="46"/>
      <c r="P1568" s="46" t="str">
        <f aca="false">IF(OR(B1568="",I1568&lt;&gt;"Save for a later revision"),"",IF(COUNTIF('Deferred edits'!$K$2:$K$201,A1568)&gt;0,"Yes","● Add to Deferred edits"))</f>
        <v/>
      </c>
    </row>
    <row r="1569" customFormat="false" ht="15" hidden="false" customHeight="false" outlineLevel="0" collapsed="false">
      <c r="A1569" s="46" t="s">
        <v>1864</v>
      </c>
      <c r="B1569" s="46"/>
      <c r="C1569" s="46"/>
      <c r="D1569" s="46"/>
      <c r="E1569" s="46"/>
      <c r="F1569" s="46"/>
      <c r="G1569" s="46"/>
      <c r="H1569" s="46"/>
      <c r="I1569" s="46"/>
      <c r="J1569" s="46"/>
      <c r="K1569" s="46"/>
      <c r="L1569" s="46"/>
      <c r="M1569" s="46" t="str">
        <f aca="false">IF(OR(B1569="",I1569=""),"",IFERROR(INDEX('Comment flow'!$C$40:$C$46,MATCH(I1569,'Comment flow'!$A$40:$A$46,0)),""))</f>
        <v/>
      </c>
      <c r="N1569" s="46" t="str">
        <f aca="false">IF(B1569="","",IF(OR(I1569="",I1569="Open: needs a decision",L1569=""),"Open","Closed"))</f>
        <v/>
      </c>
      <c r="O1569" s="46"/>
      <c r="P1569" s="46" t="str">
        <f aca="false">IF(OR(B1569="",I1569&lt;&gt;"Save for a later revision"),"",IF(COUNTIF('Deferred edits'!$K$2:$K$201,A1569)&gt;0,"Yes","● Add to Deferred edits"))</f>
        <v/>
      </c>
    </row>
    <row r="1570" customFormat="false" ht="15" hidden="false" customHeight="false" outlineLevel="0" collapsed="false">
      <c r="A1570" s="46" t="s">
        <v>1865</v>
      </c>
      <c r="B1570" s="46"/>
      <c r="C1570" s="46"/>
      <c r="D1570" s="46"/>
      <c r="E1570" s="46"/>
      <c r="F1570" s="46"/>
      <c r="G1570" s="46"/>
      <c r="H1570" s="46"/>
      <c r="I1570" s="46"/>
      <c r="J1570" s="46"/>
      <c r="K1570" s="46"/>
      <c r="L1570" s="46"/>
      <c r="M1570" s="46" t="str">
        <f aca="false">IF(OR(B1570="",I1570=""),"",IFERROR(INDEX('Comment flow'!$C$40:$C$46,MATCH(I1570,'Comment flow'!$A$40:$A$46,0)),""))</f>
        <v/>
      </c>
      <c r="N1570" s="46" t="str">
        <f aca="false">IF(B1570="","",IF(OR(I1570="",I1570="Open: needs a decision",L1570=""),"Open","Closed"))</f>
        <v/>
      </c>
      <c r="O1570" s="46"/>
      <c r="P1570" s="46" t="str">
        <f aca="false">IF(OR(B1570="",I1570&lt;&gt;"Save for a later revision"),"",IF(COUNTIF('Deferred edits'!$K$2:$K$201,A1570)&gt;0,"Yes","● Add to Deferred edits"))</f>
        <v/>
      </c>
    </row>
    <row r="1571" customFormat="false" ht="15" hidden="false" customHeight="false" outlineLevel="0" collapsed="false">
      <c r="A1571" s="46" t="s">
        <v>1866</v>
      </c>
      <c r="B1571" s="46"/>
      <c r="C1571" s="46"/>
      <c r="D1571" s="46"/>
      <c r="E1571" s="46"/>
      <c r="F1571" s="46"/>
      <c r="G1571" s="46"/>
      <c r="H1571" s="46"/>
      <c r="I1571" s="46"/>
      <c r="J1571" s="46"/>
      <c r="K1571" s="46"/>
      <c r="L1571" s="46"/>
      <c r="M1571" s="46" t="str">
        <f aca="false">IF(OR(B1571="",I1571=""),"",IFERROR(INDEX('Comment flow'!$C$40:$C$46,MATCH(I1571,'Comment flow'!$A$40:$A$46,0)),""))</f>
        <v/>
      </c>
      <c r="N1571" s="46" t="str">
        <f aca="false">IF(B1571="","",IF(OR(I1571="",I1571="Open: needs a decision",L1571=""),"Open","Closed"))</f>
        <v/>
      </c>
      <c r="O1571" s="46"/>
      <c r="P1571" s="46" t="str">
        <f aca="false">IF(OR(B1571="",I1571&lt;&gt;"Save for a later revision"),"",IF(COUNTIF('Deferred edits'!$K$2:$K$201,A1571)&gt;0,"Yes","● Add to Deferred edits"))</f>
        <v/>
      </c>
    </row>
    <row r="1572" customFormat="false" ht="15" hidden="false" customHeight="false" outlineLevel="0" collapsed="false">
      <c r="A1572" s="46" t="s">
        <v>1867</v>
      </c>
      <c r="B1572" s="46"/>
      <c r="C1572" s="46"/>
      <c r="D1572" s="46"/>
      <c r="E1572" s="46"/>
      <c r="F1572" s="46"/>
      <c r="G1572" s="46"/>
      <c r="H1572" s="46"/>
      <c r="I1572" s="46"/>
      <c r="J1572" s="46"/>
      <c r="K1572" s="46"/>
      <c r="L1572" s="46"/>
      <c r="M1572" s="46" t="str">
        <f aca="false">IF(OR(B1572="",I1572=""),"",IFERROR(INDEX('Comment flow'!$C$40:$C$46,MATCH(I1572,'Comment flow'!$A$40:$A$46,0)),""))</f>
        <v/>
      </c>
      <c r="N1572" s="46" t="str">
        <f aca="false">IF(B1572="","",IF(OR(I1572="",I1572="Open: needs a decision",L1572=""),"Open","Closed"))</f>
        <v/>
      </c>
      <c r="O1572" s="46"/>
      <c r="P1572" s="46" t="str">
        <f aca="false">IF(OR(B1572="",I1572&lt;&gt;"Save for a later revision"),"",IF(COUNTIF('Deferred edits'!$K$2:$K$201,A1572)&gt;0,"Yes","● Add to Deferred edits"))</f>
        <v/>
      </c>
    </row>
    <row r="1573" customFormat="false" ht="15" hidden="false" customHeight="false" outlineLevel="0" collapsed="false">
      <c r="A1573" s="46" t="s">
        <v>1868</v>
      </c>
      <c r="B1573" s="46"/>
      <c r="C1573" s="46"/>
      <c r="D1573" s="46"/>
      <c r="E1573" s="46"/>
      <c r="F1573" s="46"/>
      <c r="G1573" s="46"/>
      <c r="H1573" s="46"/>
      <c r="I1573" s="46"/>
      <c r="J1573" s="46"/>
      <c r="K1573" s="46"/>
      <c r="L1573" s="46"/>
      <c r="M1573" s="46" t="str">
        <f aca="false">IF(OR(B1573="",I1573=""),"",IFERROR(INDEX('Comment flow'!$C$40:$C$46,MATCH(I1573,'Comment flow'!$A$40:$A$46,0)),""))</f>
        <v/>
      </c>
      <c r="N1573" s="46" t="str">
        <f aca="false">IF(B1573="","",IF(OR(I1573="",I1573="Open: needs a decision",L1573=""),"Open","Closed"))</f>
        <v/>
      </c>
      <c r="O1573" s="46"/>
      <c r="P1573" s="46" t="str">
        <f aca="false">IF(OR(B1573="",I1573&lt;&gt;"Save for a later revision"),"",IF(COUNTIF('Deferred edits'!$K$2:$K$201,A1573)&gt;0,"Yes","● Add to Deferred edits"))</f>
        <v/>
      </c>
    </row>
    <row r="1574" customFormat="false" ht="15" hidden="false" customHeight="false" outlineLevel="0" collapsed="false">
      <c r="A1574" s="46" t="s">
        <v>1869</v>
      </c>
      <c r="B1574" s="46"/>
      <c r="C1574" s="46"/>
      <c r="D1574" s="46"/>
      <c r="E1574" s="46"/>
      <c r="F1574" s="46"/>
      <c r="G1574" s="46"/>
      <c r="H1574" s="46"/>
      <c r="I1574" s="46"/>
      <c r="J1574" s="46"/>
      <c r="K1574" s="46"/>
      <c r="L1574" s="46"/>
      <c r="M1574" s="46" t="str">
        <f aca="false">IF(OR(B1574="",I1574=""),"",IFERROR(INDEX('Comment flow'!$C$40:$C$46,MATCH(I1574,'Comment flow'!$A$40:$A$46,0)),""))</f>
        <v/>
      </c>
      <c r="N1574" s="46" t="str">
        <f aca="false">IF(B1574="","",IF(OR(I1574="",I1574="Open: needs a decision",L1574=""),"Open","Closed"))</f>
        <v/>
      </c>
      <c r="O1574" s="46"/>
      <c r="P1574" s="46" t="str">
        <f aca="false">IF(OR(B1574="",I1574&lt;&gt;"Save for a later revision"),"",IF(COUNTIF('Deferred edits'!$K$2:$K$201,A1574)&gt;0,"Yes","● Add to Deferred edits"))</f>
        <v/>
      </c>
    </row>
    <row r="1575" customFormat="false" ht="15" hidden="false" customHeight="false" outlineLevel="0" collapsed="false">
      <c r="A1575" s="46" t="s">
        <v>1870</v>
      </c>
      <c r="B1575" s="46"/>
      <c r="C1575" s="46"/>
      <c r="D1575" s="46"/>
      <c r="E1575" s="46"/>
      <c r="F1575" s="46"/>
      <c r="G1575" s="46"/>
      <c r="H1575" s="46"/>
      <c r="I1575" s="46"/>
      <c r="J1575" s="46"/>
      <c r="K1575" s="46"/>
      <c r="L1575" s="46"/>
      <c r="M1575" s="46" t="str">
        <f aca="false">IF(OR(B1575="",I1575=""),"",IFERROR(INDEX('Comment flow'!$C$40:$C$46,MATCH(I1575,'Comment flow'!$A$40:$A$46,0)),""))</f>
        <v/>
      </c>
      <c r="N1575" s="46" t="str">
        <f aca="false">IF(B1575="","",IF(OR(I1575="",I1575="Open: needs a decision",L1575=""),"Open","Closed"))</f>
        <v/>
      </c>
      <c r="O1575" s="46"/>
      <c r="P1575" s="46" t="str">
        <f aca="false">IF(OR(B1575="",I1575&lt;&gt;"Save for a later revision"),"",IF(COUNTIF('Deferred edits'!$K$2:$K$201,A1575)&gt;0,"Yes","● Add to Deferred edits"))</f>
        <v/>
      </c>
    </row>
    <row r="1576" customFormat="false" ht="15" hidden="false" customHeight="false" outlineLevel="0" collapsed="false">
      <c r="A1576" s="46" t="s">
        <v>1871</v>
      </c>
      <c r="B1576" s="46"/>
      <c r="C1576" s="46"/>
      <c r="D1576" s="46"/>
      <c r="E1576" s="46"/>
      <c r="F1576" s="46"/>
      <c r="G1576" s="46"/>
      <c r="H1576" s="46"/>
      <c r="I1576" s="46"/>
      <c r="J1576" s="46"/>
      <c r="K1576" s="46"/>
      <c r="L1576" s="46"/>
      <c r="M1576" s="46" t="str">
        <f aca="false">IF(OR(B1576="",I1576=""),"",IFERROR(INDEX('Comment flow'!$C$40:$C$46,MATCH(I1576,'Comment flow'!$A$40:$A$46,0)),""))</f>
        <v/>
      </c>
      <c r="N1576" s="46" t="str">
        <f aca="false">IF(B1576="","",IF(OR(I1576="",I1576="Open: needs a decision",L1576=""),"Open","Closed"))</f>
        <v/>
      </c>
      <c r="O1576" s="46"/>
      <c r="P1576" s="46" t="str">
        <f aca="false">IF(OR(B1576="",I1576&lt;&gt;"Save for a later revision"),"",IF(COUNTIF('Deferred edits'!$K$2:$K$201,A1576)&gt;0,"Yes","● Add to Deferred edits"))</f>
        <v/>
      </c>
    </row>
    <row r="1577" customFormat="false" ht="15" hidden="false" customHeight="false" outlineLevel="0" collapsed="false">
      <c r="A1577" s="46" t="s">
        <v>1872</v>
      </c>
      <c r="B1577" s="46"/>
      <c r="C1577" s="46"/>
      <c r="D1577" s="46"/>
      <c r="E1577" s="46"/>
      <c r="F1577" s="46"/>
      <c r="G1577" s="46"/>
      <c r="H1577" s="46"/>
      <c r="I1577" s="46"/>
      <c r="J1577" s="46"/>
      <c r="K1577" s="46"/>
      <c r="L1577" s="46"/>
      <c r="M1577" s="46" t="str">
        <f aca="false">IF(OR(B1577="",I1577=""),"",IFERROR(INDEX('Comment flow'!$C$40:$C$46,MATCH(I1577,'Comment flow'!$A$40:$A$46,0)),""))</f>
        <v/>
      </c>
      <c r="N1577" s="46" t="str">
        <f aca="false">IF(B1577="","",IF(OR(I1577="",I1577="Open: needs a decision",L1577=""),"Open","Closed"))</f>
        <v/>
      </c>
      <c r="O1577" s="46"/>
      <c r="P1577" s="46" t="str">
        <f aca="false">IF(OR(B1577="",I1577&lt;&gt;"Save for a later revision"),"",IF(COUNTIF('Deferred edits'!$K$2:$K$201,A1577)&gt;0,"Yes","● Add to Deferred edits"))</f>
        <v/>
      </c>
    </row>
    <row r="1578" customFormat="false" ht="15" hidden="false" customHeight="false" outlineLevel="0" collapsed="false">
      <c r="A1578" s="46" t="s">
        <v>1873</v>
      </c>
      <c r="B1578" s="46"/>
      <c r="C1578" s="46"/>
      <c r="D1578" s="46"/>
      <c r="E1578" s="46"/>
      <c r="F1578" s="46"/>
      <c r="G1578" s="46"/>
      <c r="H1578" s="46"/>
      <c r="I1578" s="46"/>
      <c r="J1578" s="46"/>
      <c r="K1578" s="46"/>
      <c r="L1578" s="46"/>
      <c r="M1578" s="46" t="str">
        <f aca="false">IF(OR(B1578="",I1578=""),"",IFERROR(INDEX('Comment flow'!$C$40:$C$46,MATCH(I1578,'Comment flow'!$A$40:$A$46,0)),""))</f>
        <v/>
      </c>
      <c r="N1578" s="46" t="str">
        <f aca="false">IF(B1578="","",IF(OR(I1578="",I1578="Open: needs a decision",L1578=""),"Open","Closed"))</f>
        <v/>
      </c>
      <c r="O1578" s="46"/>
      <c r="P1578" s="46" t="str">
        <f aca="false">IF(OR(B1578="",I1578&lt;&gt;"Save for a later revision"),"",IF(COUNTIF('Deferred edits'!$K$2:$K$201,A1578)&gt;0,"Yes","● Add to Deferred edits"))</f>
        <v/>
      </c>
    </row>
    <row r="1579" customFormat="false" ht="15" hidden="false" customHeight="false" outlineLevel="0" collapsed="false">
      <c r="A1579" s="46" t="s">
        <v>1874</v>
      </c>
      <c r="B1579" s="46"/>
      <c r="C1579" s="46"/>
      <c r="D1579" s="46"/>
      <c r="E1579" s="46"/>
      <c r="F1579" s="46"/>
      <c r="G1579" s="46"/>
      <c r="H1579" s="46"/>
      <c r="I1579" s="46"/>
      <c r="J1579" s="46"/>
      <c r="K1579" s="46"/>
      <c r="L1579" s="46"/>
      <c r="M1579" s="46" t="str">
        <f aca="false">IF(OR(B1579="",I1579=""),"",IFERROR(INDEX('Comment flow'!$C$40:$C$46,MATCH(I1579,'Comment flow'!$A$40:$A$46,0)),""))</f>
        <v/>
      </c>
      <c r="N1579" s="46" t="str">
        <f aca="false">IF(B1579="","",IF(OR(I1579="",I1579="Open: needs a decision",L1579=""),"Open","Closed"))</f>
        <v/>
      </c>
      <c r="O1579" s="46"/>
      <c r="P1579" s="46" t="str">
        <f aca="false">IF(OR(B1579="",I1579&lt;&gt;"Save for a later revision"),"",IF(COUNTIF('Deferred edits'!$K$2:$K$201,A1579)&gt;0,"Yes","● Add to Deferred edits"))</f>
        <v/>
      </c>
    </row>
    <row r="1580" customFormat="false" ht="15" hidden="false" customHeight="false" outlineLevel="0" collapsed="false">
      <c r="A1580" s="46" t="s">
        <v>1875</v>
      </c>
      <c r="B1580" s="46"/>
      <c r="C1580" s="46"/>
      <c r="D1580" s="46"/>
      <c r="E1580" s="46"/>
      <c r="F1580" s="46"/>
      <c r="G1580" s="46"/>
      <c r="H1580" s="46"/>
      <c r="I1580" s="46"/>
      <c r="J1580" s="46"/>
      <c r="K1580" s="46"/>
      <c r="L1580" s="46"/>
      <c r="M1580" s="46" t="str">
        <f aca="false">IF(OR(B1580="",I1580=""),"",IFERROR(INDEX('Comment flow'!$C$40:$C$46,MATCH(I1580,'Comment flow'!$A$40:$A$46,0)),""))</f>
        <v/>
      </c>
      <c r="N1580" s="46" t="str">
        <f aca="false">IF(B1580="","",IF(OR(I1580="",I1580="Open: needs a decision",L1580=""),"Open","Closed"))</f>
        <v/>
      </c>
      <c r="O1580" s="46"/>
      <c r="P1580" s="46" t="str">
        <f aca="false">IF(OR(B1580="",I1580&lt;&gt;"Save for a later revision"),"",IF(COUNTIF('Deferred edits'!$K$2:$K$201,A1580)&gt;0,"Yes","● Add to Deferred edits"))</f>
        <v/>
      </c>
    </row>
    <row r="1581" customFormat="false" ht="15" hidden="false" customHeight="false" outlineLevel="0" collapsed="false">
      <c r="A1581" s="46" t="s">
        <v>1876</v>
      </c>
      <c r="B1581" s="46"/>
      <c r="C1581" s="46"/>
      <c r="D1581" s="46"/>
      <c r="E1581" s="46"/>
      <c r="F1581" s="46"/>
      <c r="G1581" s="46"/>
      <c r="H1581" s="46"/>
      <c r="I1581" s="46"/>
      <c r="J1581" s="46"/>
      <c r="K1581" s="46"/>
      <c r="L1581" s="46"/>
      <c r="M1581" s="46" t="str">
        <f aca="false">IF(OR(B1581="",I1581=""),"",IFERROR(INDEX('Comment flow'!$C$40:$C$46,MATCH(I1581,'Comment flow'!$A$40:$A$46,0)),""))</f>
        <v/>
      </c>
      <c r="N1581" s="46" t="str">
        <f aca="false">IF(B1581="","",IF(OR(I1581="",I1581="Open: needs a decision",L1581=""),"Open","Closed"))</f>
        <v/>
      </c>
      <c r="O1581" s="46"/>
      <c r="P1581" s="46" t="str">
        <f aca="false">IF(OR(B1581="",I1581&lt;&gt;"Save for a later revision"),"",IF(COUNTIF('Deferred edits'!$K$2:$K$201,A1581)&gt;0,"Yes","● Add to Deferred edits"))</f>
        <v/>
      </c>
    </row>
    <row r="1582" customFormat="false" ht="15" hidden="false" customHeight="false" outlineLevel="0" collapsed="false">
      <c r="A1582" s="46" t="s">
        <v>1877</v>
      </c>
      <c r="B1582" s="46"/>
      <c r="C1582" s="46"/>
      <c r="D1582" s="46"/>
      <c r="E1582" s="46"/>
      <c r="F1582" s="46"/>
      <c r="G1582" s="46"/>
      <c r="H1582" s="46"/>
      <c r="I1582" s="46"/>
      <c r="J1582" s="46"/>
      <c r="K1582" s="46"/>
      <c r="L1582" s="46"/>
      <c r="M1582" s="46" t="str">
        <f aca="false">IF(OR(B1582="",I1582=""),"",IFERROR(INDEX('Comment flow'!$C$40:$C$46,MATCH(I1582,'Comment flow'!$A$40:$A$46,0)),""))</f>
        <v/>
      </c>
      <c r="N1582" s="46" t="str">
        <f aca="false">IF(B1582="","",IF(OR(I1582="",I1582="Open: needs a decision",L1582=""),"Open","Closed"))</f>
        <v/>
      </c>
      <c r="O1582" s="46"/>
      <c r="P1582" s="46" t="str">
        <f aca="false">IF(OR(B1582="",I1582&lt;&gt;"Save for a later revision"),"",IF(COUNTIF('Deferred edits'!$K$2:$K$201,A1582)&gt;0,"Yes","● Add to Deferred edits"))</f>
        <v/>
      </c>
    </row>
    <row r="1583" customFormat="false" ht="15" hidden="false" customHeight="false" outlineLevel="0" collapsed="false">
      <c r="A1583" s="46" t="s">
        <v>1878</v>
      </c>
      <c r="B1583" s="46"/>
      <c r="C1583" s="46"/>
      <c r="D1583" s="46"/>
      <c r="E1583" s="46"/>
      <c r="F1583" s="46"/>
      <c r="G1583" s="46"/>
      <c r="H1583" s="46"/>
      <c r="I1583" s="46"/>
      <c r="J1583" s="46"/>
      <c r="K1583" s="46"/>
      <c r="L1583" s="46"/>
      <c r="M1583" s="46" t="str">
        <f aca="false">IF(OR(B1583="",I1583=""),"",IFERROR(INDEX('Comment flow'!$C$40:$C$46,MATCH(I1583,'Comment flow'!$A$40:$A$46,0)),""))</f>
        <v/>
      </c>
      <c r="N1583" s="46" t="str">
        <f aca="false">IF(B1583="","",IF(OR(I1583="",I1583="Open: needs a decision",L1583=""),"Open","Closed"))</f>
        <v/>
      </c>
      <c r="O1583" s="46"/>
      <c r="P1583" s="46" t="str">
        <f aca="false">IF(OR(B1583="",I1583&lt;&gt;"Save for a later revision"),"",IF(COUNTIF('Deferred edits'!$K$2:$K$201,A1583)&gt;0,"Yes","● Add to Deferred edits"))</f>
        <v/>
      </c>
    </row>
    <row r="1584" customFormat="false" ht="15" hidden="false" customHeight="false" outlineLevel="0" collapsed="false">
      <c r="A1584" s="46" t="s">
        <v>1879</v>
      </c>
      <c r="B1584" s="46"/>
      <c r="C1584" s="46"/>
      <c r="D1584" s="46"/>
      <c r="E1584" s="46"/>
      <c r="F1584" s="46"/>
      <c r="G1584" s="46"/>
      <c r="H1584" s="46"/>
      <c r="I1584" s="46"/>
      <c r="J1584" s="46"/>
      <c r="K1584" s="46"/>
      <c r="L1584" s="46"/>
      <c r="M1584" s="46" t="str">
        <f aca="false">IF(OR(B1584="",I1584=""),"",IFERROR(INDEX('Comment flow'!$C$40:$C$46,MATCH(I1584,'Comment flow'!$A$40:$A$46,0)),""))</f>
        <v/>
      </c>
      <c r="N1584" s="46" t="str">
        <f aca="false">IF(B1584="","",IF(OR(I1584="",I1584="Open: needs a decision",L1584=""),"Open","Closed"))</f>
        <v/>
      </c>
      <c r="O1584" s="46"/>
      <c r="P1584" s="46" t="str">
        <f aca="false">IF(OR(B1584="",I1584&lt;&gt;"Save for a later revision"),"",IF(COUNTIF('Deferred edits'!$K$2:$K$201,A1584)&gt;0,"Yes","● Add to Deferred edits"))</f>
        <v/>
      </c>
    </row>
    <row r="1585" customFormat="false" ht="15" hidden="false" customHeight="false" outlineLevel="0" collapsed="false">
      <c r="A1585" s="46" t="s">
        <v>1880</v>
      </c>
      <c r="B1585" s="46"/>
      <c r="C1585" s="46"/>
      <c r="D1585" s="46"/>
      <c r="E1585" s="46"/>
      <c r="F1585" s="46"/>
      <c r="G1585" s="46"/>
      <c r="H1585" s="46"/>
      <c r="I1585" s="46"/>
      <c r="J1585" s="46"/>
      <c r="K1585" s="46"/>
      <c r="L1585" s="46"/>
      <c r="M1585" s="46" t="str">
        <f aca="false">IF(OR(B1585="",I1585=""),"",IFERROR(INDEX('Comment flow'!$C$40:$C$46,MATCH(I1585,'Comment flow'!$A$40:$A$46,0)),""))</f>
        <v/>
      </c>
      <c r="N1585" s="46" t="str">
        <f aca="false">IF(B1585="","",IF(OR(I1585="",I1585="Open: needs a decision",L1585=""),"Open","Closed"))</f>
        <v/>
      </c>
      <c r="O1585" s="46"/>
      <c r="P1585" s="46" t="str">
        <f aca="false">IF(OR(B1585="",I1585&lt;&gt;"Save for a later revision"),"",IF(COUNTIF('Deferred edits'!$K$2:$K$201,A1585)&gt;0,"Yes","● Add to Deferred edits"))</f>
        <v/>
      </c>
    </row>
    <row r="1586" customFormat="false" ht="15" hidden="false" customHeight="false" outlineLevel="0" collapsed="false">
      <c r="A1586" s="46" t="s">
        <v>1881</v>
      </c>
      <c r="B1586" s="46"/>
      <c r="C1586" s="46"/>
      <c r="D1586" s="46"/>
      <c r="E1586" s="46"/>
      <c r="F1586" s="46"/>
      <c r="G1586" s="46"/>
      <c r="H1586" s="46"/>
      <c r="I1586" s="46"/>
      <c r="J1586" s="46"/>
      <c r="K1586" s="46"/>
      <c r="L1586" s="46"/>
      <c r="M1586" s="46" t="str">
        <f aca="false">IF(OR(B1586="",I1586=""),"",IFERROR(INDEX('Comment flow'!$C$40:$C$46,MATCH(I1586,'Comment flow'!$A$40:$A$46,0)),""))</f>
        <v/>
      </c>
      <c r="N1586" s="46" t="str">
        <f aca="false">IF(B1586="","",IF(OR(I1586="",I1586="Open: needs a decision",L1586=""),"Open","Closed"))</f>
        <v/>
      </c>
      <c r="O1586" s="46"/>
      <c r="P1586" s="46" t="str">
        <f aca="false">IF(OR(B1586="",I1586&lt;&gt;"Save for a later revision"),"",IF(COUNTIF('Deferred edits'!$K$2:$K$201,A1586)&gt;0,"Yes","● Add to Deferred edits"))</f>
        <v/>
      </c>
    </row>
    <row r="1587" customFormat="false" ht="15" hidden="false" customHeight="false" outlineLevel="0" collapsed="false">
      <c r="A1587" s="46" t="s">
        <v>1882</v>
      </c>
      <c r="B1587" s="46"/>
      <c r="C1587" s="46"/>
      <c r="D1587" s="46"/>
      <c r="E1587" s="46"/>
      <c r="F1587" s="46"/>
      <c r="G1587" s="46"/>
      <c r="H1587" s="46"/>
      <c r="I1587" s="46"/>
      <c r="J1587" s="46"/>
      <c r="K1587" s="46"/>
      <c r="L1587" s="46"/>
      <c r="M1587" s="46" t="str">
        <f aca="false">IF(OR(B1587="",I1587=""),"",IFERROR(INDEX('Comment flow'!$C$40:$C$46,MATCH(I1587,'Comment flow'!$A$40:$A$46,0)),""))</f>
        <v/>
      </c>
      <c r="N1587" s="46" t="str">
        <f aca="false">IF(B1587="","",IF(OR(I1587="",I1587="Open: needs a decision",L1587=""),"Open","Closed"))</f>
        <v/>
      </c>
      <c r="O1587" s="46"/>
      <c r="P1587" s="46" t="str">
        <f aca="false">IF(OR(B1587="",I1587&lt;&gt;"Save for a later revision"),"",IF(COUNTIF('Deferred edits'!$K$2:$K$201,A1587)&gt;0,"Yes","● Add to Deferred edits"))</f>
        <v/>
      </c>
    </row>
    <row r="1588" customFormat="false" ht="15" hidden="false" customHeight="false" outlineLevel="0" collapsed="false">
      <c r="A1588" s="46" t="s">
        <v>1883</v>
      </c>
      <c r="B1588" s="46"/>
      <c r="C1588" s="46"/>
      <c r="D1588" s="46"/>
      <c r="E1588" s="46"/>
      <c r="F1588" s="46"/>
      <c r="G1588" s="46"/>
      <c r="H1588" s="46"/>
      <c r="I1588" s="46"/>
      <c r="J1588" s="46"/>
      <c r="K1588" s="46"/>
      <c r="L1588" s="46"/>
      <c r="M1588" s="46" t="str">
        <f aca="false">IF(OR(B1588="",I1588=""),"",IFERROR(INDEX('Comment flow'!$C$40:$C$46,MATCH(I1588,'Comment flow'!$A$40:$A$46,0)),""))</f>
        <v/>
      </c>
      <c r="N1588" s="46" t="str">
        <f aca="false">IF(B1588="","",IF(OR(I1588="",I1588="Open: needs a decision",L1588=""),"Open","Closed"))</f>
        <v/>
      </c>
      <c r="O1588" s="46"/>
      <c r="P1588" s="46" t="str">
        <f aca="false">IF(OR(B1588="",I1588&lt;&gt;"Save for a later revision"),"",IF(COUNTIF('Deferred edits'!$K$2:$K$201,A1588)&gt;0,"Yes","● Add to Deferred edits"))</f>
        <v/>
      </c>
    </row>
    <row r="1589" customFormat="false" ht="15" hidden="false" customHeight="false" outlineLevel="0" collapsed="false">
      <c r="A1589" s="46" t="s">
        <v>1884</v>
      </c>
      <c r="B1589" s="46"/>
      <c r="C1589" s="46"/>
      <c r="D1589" s="46"/>
      <c r="E1589" s="46"/>
      <c r="F1589" s="46"/>
      <c r="G1589" s="46"/>
      <c r="H1589" s="46"/>
      <c r="I1589" s="46"/>
      <c r="J1589" s="46"/>
      <c r="K1589" s="46"/>
      <c r="L1589" s="46"/>
      <c r="M1589" s="46" t="str">
        <f aca="false">IF(OR(B1589="",I1589=""),"",IFERROR(INDEX('Comment flow'!$C$40:$C$46,MATCH(I1589,'Comment flow'!$A$40:$A$46,0)),""))</f>
        <v/>
      </c>
      <c r="N1589" s="46" t="str">
        <f aca="false">IF(B1589="","",IF(OR(I1589="",I1589="Open: needs a decision",L1589=""),"Open","Closed"))</f>
        <v/>
      </c>
      <c r="O1589" s="46"/>
      <c r="P1589" s="46" t="str">
        <f aca="false">IF(OR(B1589="",I1589&lt;&gt;"Save for a later revision"),"",IF(COUNTIF('Deferred edits'!$K$2:$K$201,A1589)&gt;0,"Yes","● Add to Deferred edits"))</f>
        <v/>
      </c>
    </row>
    <row r="1590" customFormat="false" ht="15" hidden="false" customHeight="false" outlineLevel="0" collapsed="false">
      <c r="A1590" s="46" t="s">
        <v>1885</v>
      </c>
      <c r="B1590" s="46"/>
      <c r="C1590" s="46"/>
      <c r="D1590" s="46"/>
      <c r="E1590" s="46"/>
      <c r="F1590" s="46"/>
      <c r="G1590" s="46"/>
      <c r="H1590" s="46"/>
      <c r="I1590" s="46"/>
      <c r="J1590" s="46"/>
      <c r="K1590" s="46"/>
      <c r="L1590" s="46"/>
      <c r="M1590" s="46" t="str">
        <f aca="false">IF(OR(B1590="",I1590=""),"",IFERROR(INDEX('Comment flow'!$C$40:$C$46,MATCH(I1590,'Comment flow'!$A$40:$A$46,0)),""))</f>
        <v/>
      </c>
      <c r="N1590" s="46" t="str">
        <f aca="false">IF(B1590="","",IF(OR(I1590="",I1590="Open: needs a decision",L1590=""),"Open","Closed"))</f>
        <v/>
      </c>
      <c r="O1590" s="46"/>
      <c r="P1590" s="46" t="str">
        <f aca="false">IF(OR(B1590="",I1590&lt;&gt;"Save for a later revision"),"",IF(COUNTIF('Deferred edits'!$K$2:$K$201,A1590)&gt;0,"Yes","● Add to Deferred edits"))</f>
        <v/>
      </c>
    </row>
    <row r="1591" customFormat="false" ht="15" hidden="false" customHeight="false" outlineLevel="0" collapsed="false">
      <c r="A1591" s="46" t="s">
        <v>1886</v>
      </c>
      <c r="B1591" s="46"/>
      <c r="C1591" s="46"/>
      <c r="D1591" s="46"/>
      <c r="E1591" s="46"/>
      <c r="F1591" s="46"/>
      <c r="G1591" s="46"/>
      <c r="H1591" s="46"/>
      <c r="I1591" s="46"/>
      <c r="J1591" s="46"/>
      <c r="K1591" s="46"/>
      <c r="L1591" s="46"/>
      <c r="M1591" s="46" t="str">
        <f aca="false">IF(OR(B1591="",I1591=""),"",IFERROR(INDEX('Comment flow'!$C$40:$C$46,MATCH(I1591,'Comment flow'!$A$40:$A$46,0)),""))</f>
        <v/>
      </c>
      <c r="N1591" s="46" t="str">
        <f aca="false">IF(B1591="","",IF(OR(I1591="",I1591="Open: needs a decision",L1591=""),"Open","Closed"))</f>
        <v/>
      </c>
      <c r="O1591" s="46"/>
      <c r="P1591" s="46" t="str">
        <f aca="false">IF(OR(B1591="",I1591&lt;&gt;"Save for a later revision"),"",IF(COUNTIF('Deferred edits'!$K$2:$K$201,A1591)&gt;0,"Yes","● Add to Deferred edits"))</f>
        <v/>
      </c>
    </row>
    <row r="1592" customFormat="false" ht="15" hidden="false" customHeight="false" outlineLevel="0" collapsed="false">
      <c r="A1592" s="46" t="s">
        <v>1887</v>
      </c>
      <c r="B1592" s="46"/>
      <c r="C1592" s="46"/>
      <c r="D1592" s="46"/>
      <c r="E1592" s="46"/>
      <c r="F1592" s="46"/>
      <c r="G1592" s="46"/>
      <c r="H1592" s="46"/>
      <c r="I1592" s="46"/>
      <c r="J1592" s="46"/>
      <c r="K1592" s="46"/>
      <c r="L1592" s="46"/>
      <c r="M1592" s="46" t="str">
        <f aca="false">IF(OR(B1592="",I1592=""),"",IFERROR(INDEX('Comment flow'!$C$40:$C$46,MATCH(I1592,'Comment flow'!$A$40:$A$46,0)),""))</f>
        <v/>
      </c>
      <c r="N1592" s="46" t="str">
        <f aca="false">IF(B1592="","",IF(OR(I1592="",I1592="Open: needs a decision",L1592=""),"Open","Closed"))</f>
        <v/>
      </c>
      <c r="O1592" s="46"/>
      <c r="P1592" s="46" t="str">
        <f aca="false">IF(OR(B1592="",I1592&lt;&gt;"Save for a later revision"),"",IF(COUNTIF('Deferred edits'!$K$2:$K$201,A1592)&gt;0,"Yes","● Add to Deferred edits"))</f>
        <v/>
      </c>
    </row>
    <row r="1593" customFormat="false" ht="15" hidden="false" customHeight="false" outlineLevel="0" collapsed="false">
      <c r="A1593" s="46" t="s">
        <v>1888</v>
      </c>
      <c r="B1593" s="46"/>
      <c r="C1593" s="46"/>
      <c r="D1593" s="46"/>
      <c r="E1593" s="46"/>
      <c r="F1593" s="46"/>
      <c r="G1593" s="46"/>
      <c r="H1593" s="46"/>
      <c r="I1593" s="46"/>
      <c r="J1593" s="46"/>
      <c r="K1593" s="46"/>
      <c r="L1593" s="46"/>
      <c r="M1593" s="46" t="str">
        <f aca="false">IF(OR(B1593="",I1593=""),"",IFERROR(INDEX('Comment flow'!$C$40:$C$46,MATCH(I1593,'Comment flow'!$A$40:$A$46,0)),""))</f>
        <v/>
      </c>
      <c r="N1593" s="46" t="str">
        <f aca="false">IF(B1593="","",IF(OR(I1593="",I1593="Open: needs a decision",L1593=""),"Open","Closed"))</f>
        <v/>
      </c>
      <c r="O1593" s="46"/>
      <c r="P1593" s="46" t="str">
        <f aca="false">IF(OR(B1593="",I1593&lt;&gt;"Save for a later revision"),"",IF(COUNTIF('Deferred edits'!$K$2:$K$201,A1593)&gt;0,"Yes","● Add to Deferred edits"))</f>
        <v/>
      </c>
    </row>
    <row r="1594" customFormat="false" ht="15" hidden="false" customHeight="false" outlineLevel="0" collapsed="false">
      <c r="A1594" s="46" t="s">
        <v>1889</v>
      </c>
      <c r="B1594" s="46"/>
      <c r="C1594" s="46"/>
      <c r="D1594" s="46"/>
      <c r="E1594" s="46"/>
      <c r="F1594" s="46"/>
      <c r="G1594" s="46"/>
      <c r="H1594" s="46"/>
      <c r="I1594" s="46"/>
      <c r="J1594" s="46"/>
      <c r="K1594" s="46"/>
      <c r="L1594" s="46"/>
      <c r="M1594" s="46" t="str">
        <f aca="false">IF(OR(B1594="",I1594=""),"",IFERROR(INDEX('Comment flow'!$C$40:$C$46,MATCH(I1594,'Comment flow'!$A$40:$A$46,0)),""))</f>
        <v/>
      </c>
      <c r="N1594" s="46" t="str">
        <f aca="false">IF(B1594="","",IF(OR(I1594="",I1594="Open: needs a decision",L1594=""),"Open","Closed"))</f>
        <v/>
      </c>
      <c r="O1594" s="46"/>
      <c r="P1594" s="46" t="str">
        <f aca="false">IF(OR(B1594="",I1594&lt;&gt;"Save for a later revision"),"",IF(COUNTIF('Deferred edits'!$K$2:$K$201,A1594)&gt;0,"Yes","● Add to Deferred edits"))</f>
        <v/>
      </c>
    </row>
    <row r="1595" customFormat="false" ht="15" hidden="false" customHeight="false" outlineLevel="0" collapsed="false">
      <c r="A1595" s="46" t="s">
        <v>1890</v>
      </c>
      <c r="B1595" s="46"/>
      <c r="C1595" s="46"/>
      <c r="D1595" s="46"/>
      <c r="E1595" s="46"/>
      <c r="F1595" s="46"/>
      <c r="G1595" s="46"/>
      <c r="H1595" s="46"/>
      <c r="I1595" s="46"/>
      <c r="J1595" s="46"/>
      <c r="K1595" s="46"/>
      <c r="L1595" s="46"/>
      <c r="M1595" s="46" t="str">
        <f aca="false">IF(OR(B1595="",I1595=""),"",IFERROR(INDEX('Comment flow'!$C$40:$C$46,MATCH(I1595,'Comment flow'!$A$40:$A$46,0)),""))</f>
        <v/>
      </c>
      <c r="N1595" s="46" t="str">
        <f aca="false">IF(B1595="","",IF(OR(I1595="",I1595="Open: needs a decision",L1595=""),"Open","Closed"))</f>
        <v/>
      </c>
      <c r="O1595" s="46"/>
      <c r="P1595" s="46" t="str">
        <f aca="false">IF(OR(B1595="",I1595&lt;&gt;"Save for a later revision"),"",IF(COUNTIF('Deferred edits'!$K$2:$K$201,A1595)&gt;0,"Yes","● Add to Deferred edits"))</f>
        <v/>
      </c>
    </row>
    <row r="1596" customFormat="false" ht="15" hidden="false" customHeight="false" outlineLevel="0" collapsed="false">
      <c r="A1596" s="46" t="s">
        <v>1891</v>
      </c>
      <c r="B1596" s="46"/>
      <c r="C1596" s="46"/>
      <c r="D1596" s="46"/>
      <c r="E1596" s="46"/>
      <c r="F1596" s="46"/>
      <c r="G1596" s="46"/>
      <c r="H1596" s="46"/>
      <c r="I1596" s="46"/>
      <c r="J1596" s="46"/>
      <c r="K1596" s="46"/>
      <c r="L1596" s="46"/>
      <c r="M1596" s="46" t="str">
        <f aca="false">IF(OR(B1596="",I1596=""),"",IFERROR(INDEX('Comment flow'!$C$40:$C$46,MATCH(I1596,'Comment flow'!$A$40:$A$46,0)),""))</f>
        <v/>
      </c>
      <c r="N1596" s="46" t="str">
        <f aca="false">IF(B1596="","",IF(OR(I1596="",I1596="Open: needs a decision",L1596=""),"Open","Closed"))</f>
        <v/>
      </c>
      <c r="O1596" s="46"/>
      <c r="P1596" s="46" t="str">
        <f aca="false">IF(OR(B1596="",I1596&lt;&gt;"Save for a later revision"),"",IF(COUNTIF('Deferred edits'!$K$2:$K$201,A1596)&gt;0,"Yes","● Add to Deferred edits"))</f>
        <v/>
      </c>
    </row>
    <row r="1597" customFormat="false" ht="15" hidden="false" customHeight="false" outlineLevel="0" collapsed="false">
      <c r="A1597" s="46" t="s">
        <v>1892</v>
      </c>
      <c r="B1597" s="46"/>
      <c r="C1597" s="46"/>
      <c r="D1597" s="46"/>
      <c r="E1597" s="46"/>
      <c r="F1597" s="46"/>
      <c r="G1597" s="46"/>
      <c r="H1597" s="46"/>
      <c r="I1597" s="46"/>
      <c r="J1597" s="46"/>
      <c r="K1597" s="46"/>
      <c r="L1597" s="46"/>
      <c r="M1597" s="46" t="str">
        <f aca="false">IF(OR(B1597="",I1597=""),"",IFERROR(INDEX('Comment flow'!$C$40:$C$46,MATCH(I1597,'Comment flow'!$A$40:$A$46,0)),""))</f>
        <v/>
      </c>
      <c r="N1597" s="46" t="str">
        <f aca="false">IF(B1597="","",IF(OR(I1597="",I1597="Open: needs a decision",L1597=""),"Open","Closed"))</f>
        <v/>
      </c>
      <c r="O1597" s="46"/>
      <c r="P1597" s="46" t="str">
        <f aca="false">IF(OR(B1597="",I1597&lt;&gt;"Save for a later revision"),"",IF(COUNTIF('Deferred edits'!$K$2:$K$201,A1597)&gt;0,"Yes","● Add to Deferred edits"))</f>
        <v/>
      </c>
    </row>
    <row r="1598" customFormat="false" ht="15" hidden="false" customHeight="false" outlineLevel="0" collapsed="false">
      <c r="A1598" s="46" t="s">
        <v>1893</v>
      </c>
      <c r="B1598" s="46"/>
      <c r="C1598" s="46"/>
      <c r="D1598" s="46"/>
      <c r="E1598" s="46"/>
      <c r="F1598" s="46"/>
      <c r="G1598" s="46"/>
      <c r="H1598" s="46"/>
      <c r="I1598" s="46"/>
      <c r="J1598" s="46"/>
      <c r="K1598" s="46"/>
      <c r="L1598" s="46"/>
      <c r="M1598" s="46" t="str">
        <f aca="false">IF(OR(B1598="",I1598=""),"",IFERROR(INDEX('Comment flow'!$C$40:$C$46,MATCH(I1598,'Comment flow'!$A$40:$A$46,0)),""))</f>
        <v/>
      </c>
      <c r="N1598" s="46" t="str">
        <f aca="false">IF(B1598="","",IF(OR(I1598="",I1598="Open: needs a decision",L1598=""),"Open","Closed"))</f>
        <v/>
      </c>
      <c r="O1598" s="46"/>
      <c r="P1598" s="46" t="str">
        <f aca="false">IF(OR(B1598="",I1598&lt;&gt;"Save for a later revision"),"",IF(COUNTIF('Deferred edits'!$K$2:$K$201,A1598)&gt;0,"Yes","● Add to Deferred edits"))</f>
        <v/>
      </c>
    </row>
    <row r="1599" customFormat="false" ht="15" hidden="false" customHeight="false" outlineLevel="0" collapsed="false">
      <c r="A1599" s="46" t="s">
        <v>1894</v>
      </c>
      <c r="B1599" s="46"/>
      <c r="C1599" s="46"/>
      <c r="D1599" s="46"/>
      <c r="E1599" s="46"/>
      <c r="F1599" s="46"/>
      <c r="G1599" s="46"/>
      <c r="H1599" s="46"/>
      <c r="I1599" s="46"/>
      <c r="J1599" s="46"/>
      <c r="K1599" s="46"/>
      <c r="L1599" s="46"/>
      <c r="M1599" s="46" t="str">
        <f aca="false">IF(OR(B1599="",I1599=""),"",IFERROR(INDEX('Comment flow'!$C$40:$C$46,MATCH(I1599,'Comment flow'!$A$40:$A$46,0)),""))</f>
        <v/>
      </c>
      <c r="N1599" s="46" t="str">
        <f aca="false">IF(B1599="","",IF(OR(I1599="",I1599="Open: needs a decision",L1599=""),"Open","Closed"))</f>
        <v/>
      </c>
      <c r="O1599" s="46"/>
      <c r="P1599" s="46" t="str">
        <f aca="false">IF(OR(B1599="",I1599&lt;&gt;"Save for a later revision"),"",IF(COUNTIF('Deferred edits'!$K$2:$K$201,A1599)&gt;0,"Yes","● Add to Deferred edits"))</f>
        <v/>
      </c>
    </row>
    <row r="1600" customFormat="false" ht="15" hidden="false" customHeight="false" outlineLevel="0" collapsed="false">
      <c r="A1600" s="46" t="s">
        <v>1895</v>
      </c>
      <c r="B1600" s="46"/>
      <c r="C1600" s="46"/>
      <c r="D1600" s="46"/>
      <c r="E1600" s="46"/>
      <c r="F1600" s="46"/>
      <c r="G1600" s="46"/>
      <c r="H1600" s="46"/>
      <c r="I1600" s="46"/>
      <c r="J1600" s="46"/>
      <c r="K1600" s="46"/>
      <c r="L1600" s="46"/>
      <c r="M1600" s="46" t="str">
        <f aca="false">IF(OR(B1600="",I1600=""),"",IFERROR(INDEX('Comment flow'!$C$40:$C$46,MATCH(I1600,'Comment flow'!$A$40:$A$46,0)),""))</f>
        <v/>
      </c>
      <c r="N1600" s="46" t="str">
        <f aca="false">IF(B1600="","",IF(OR(I1600="",I1600="Open: needs a decision",L1600=""),"Open","Closed"))</f>
        <v/>
      </c>
      <c r="O1600" s="46"/>
      <c r="P1600" s="46" t="str">
        <f aca="false">IF(OR(B1600="",I1600&lt;&gt;"Save for a later revision"),"",IF(COUNTIF('Deferred edits'!$K$2:$K$201,A1600)&gt;0,"Yes","● Add to Deferred edits"))</f>
        <v/>
      </c>
    </row>
    <row r="1601" customFormat="false" ht="15" hidden="false" customHeight="false" outlineLevel="0" collapsed="false">
      <c r="A1601" s="46" t="s">
        <v>1896</v>
      </c>
      <c r="B1601" s="46"/>
      <c r="C1601" s="46"/>
      <c r="D1601" s="46"/>
      <c r="E1601" s="46"/>
      <c r="F1601" s="46"/>
      <c r="G1601" s="46"/>
      <c r="H1601" s="46"/>
      <c r="I1601" s="46"/>
      <c r="J1601" s="46"/>
      <c r="K1601" s="46"/>
      <c r="L1601" s="46"/>
      <c r="M1601" s="46" t="str">
        <f aca="false">IF(OR(B1601="",I1601=""),"",IFERROR(INDEX('Comment flow'!$C$40:$C$46,MATCH(I1601,'Comment flow'!$A$40:$A$46,0)),""))</f>
        <v/>
      </c>
      <c r="N1601" s="46" t="str">
        <f aca="false">IF(B1601="","",IF(OR(I1601="",I1601="Open: needs a decision",L1601=""),"Open","Closed"))</f>
        <v/>
      </c>
      <c r="O1601" s="46"/>
      <c r="P1601" s="46" t="str">
        <f aca="false">IF(OR(B1601="",I1601&lt;&gt;"Save for a later revision"),"",IF(COUNTIF('Deferred edits'!$K$2:$K$201,A1601)&gt;0,"Yes","● Add to Deferred edits"))</f>
        <v/>
      </c>
    </row>
    <row r="1602" customFormat="false" ht="15" hidden="false" customHeight="false" outlineLevel="0" collapsed="false">
      <c r="A1602" s="46" t="s">
        <v>1897</v>
      </c>
      <c r="B1602" s="46"/>
      <c r="C1602" s="46"/>
      <c r="D1602" s="46"/>
      <c r="E1602" s="46"/>
      <c r="F1602" s="46"/>
      <c r="G1602" s="46"/>
      <c r="H1602" s="46"/>
      <c r="I1602" s="46"/>
      <c r="J1602" s="46"/>
      <c r="K1602" s="46"/>
      <c r="L1602" s="46"/>
      <c r="M1602" s="46" t="str">
        <f aca="false">IF(OR(B1602="",I1602=""),"",IFERROR(INDEX('Comment flow'!$C$40:$C$46,MATCH(I1602,'Comment flow'!$A$40:$A$46,0)),""))</f>
        <v/>
      </c>
      <c r="N1602" s="46" t="str">
        <f aca="false">IF(B1602="","",IF(OR(I1602="",I1602="Open: needs a decision",L1602=""),"Open","Closed"))</f>
        <v/>
      </c>
      <c r="O1602" s="46"/>
      <c r="P1602" s="46" t="str">
        <f aca="false">IF(OR(B1602="",I1602&lt;&gt;"Save for a later revision"),"",IF(COUNTIF('Deferred edits'!$K$2:$K$201,A1602)&gt;0,"Yes","● Add to Deferred edits"))</f>
        <v/>
      </c>
    </row>
    <row r="1603" customFormat="false" ht="15" hidden="false" customHeight="false" outlineLevel="0" collapsed="false">
      <c r="A1603" s="46" t="s">
        <v>1898</v>
      </c>
      <c r="B1603" s="46"/>
      <c r="C1603" s="46"/>
      <c r="D1603" s="46"/>
      <c r="E1603" s="46"/>
      <c r="F1603" s="46"/>
      <c r="G1603" s="46"/>
      <c r="H1603" s="46"/>
      <c r="I1603" s="46"/>
      <c r="J1603" s="46"/>
      <c r="K1603" s="46"/>
      <c r="L1603" s="46"/>
      <c r="M1603" s="46" t="str">
        <f aca="false">IF(OR(B1603="",I1603=""),"",IFERROR(INDEX('Comment flow'!$C$40:$C$46,MATCH(I1603,'Comment flow'!$A$40:$A$46,0)),""))</f>
        <v/>
      </c>
      <c r="N1603" s="46" t="str">
        <f aca="false">IF(B1603="","",IF(OR(I1603="",I1603="Open: needs a decision",L1603=""),"Open","Closed"))</f>
        <v/>
      </c>
      <c r="O1603" s="46"/>
      <c r="P1603" s="46" t="str">
        <f aca="false">IF(OR(B1603="",I1603&lt;&gt;"Save for a later revision"),"",IF(COUNTIF('Deferred edits'!$K$2:$K$201,A1603)&gt;0,"Yes","● Add to Deferred edits"))</f>
        <v/>
      </c>
    </row>
    <row r="1604" customFormat="false" ht="15" hidden="false" customHeight="false" outlineLevel="0" collapsed="false">
      <c r="A1604" s="46" t="s">
        <v>1899</v>
      </c>
      <c r="B1604" s="46"/>
      <c r="C1604" s="46"/>
      <c r="D1604" s="46"/>
      <c r="E1604" s="46"/>
      <c r="F1604" s="46"/>
      <c r="G1604" s="46"/>
      <c r="H1604" s="46"/>
      <c r="I1604" s="46"/>
      <c r="J1604" s="46"/>
      <c r="K1604" s="46"/>
      <c r="L1604" s="46"/>
      <c r="M1604" s="46" t="str">
        <f aca="false">IF(OR(B1604="",I1604=""),"",IFERROR(INDEX('Comment flow'!$C$40:$C$46,MATCH(I1604,'Comment flow'!$A$40:$A$46,0)),""))</f>
        <v/>
      </c>
      <c r="N1604" s="46" t="str">
        <f aca="false">IF(B1604="","",IF(OR(I1604="",I1604="Open: needs a decision",L1604=""),"Open","Closed"))</f>
        <v/>
      </c>
      <c r="O1604" s="46"/>
      <c r="P1604" s="46" t="str">
        <f aca="false">IF(OR(B1604="",I1604&lt;&gt;"Save for a later revision"),"",IF(COUNTIF('Deferred edits'!$K$2:$K$201,A1604)&gt;0,"Yes","● Add to Deferred edits"))</f>
        <v/>
      </c>
    </row>
    <row r="1605" customFormat="false" ht="15" hidden="false" customHeight="false" outlineLevel="0" collapsed="false">
      <c r="A1605" s="46" t="s">
        <v>1900</v>
      </c>
      <c r="B1605" s="46"/>
      <c r="C1605" s="46"/>
      <c r="D1605" s="46"/>
      <c r="E1605" s="46"/>
      <c r="F1605" s="46"/>
      <c r="G1605" s="46"/>
      <c r="H1605" s="46"/>
      <c r="I1605" s="46"/>
      <c r="J1605" s="46"/>
      <c r="K1605" s="46"/>
      <c r="L1605" s="46"/>
      <c r="M1605" s="46" t="str">
        <f aca="false">IF(OR(B1605="",I1605=""),"",IFERROR(INDEX('Comment flow'!$C$40:$C$46,MATCH(I1605,'Comment flow'!$A$40:$A$46,0)),""))</f>
        <v/>
      </c>
      <c r="N1605" s="46" t="str">
        <f aca="false">IF(B1605="","",IF(OR(I1605="",I1605="Open: needs a decision",L1605=""),"Open","Closed"))</f>
        <v/>
      </c>
      <c r="O1605" s="46"/>
      <c r="P1605" s="46" t="str">
        <f aca="false">IF(OR(B1605="",I1605&lt;&gt;"Save for a later revision"),"",IF(COUNTIF('Deferred edits'!$K$2:$K$201,A1605)&gt;0,"Yes","● Add to Deferred edits"))</f>
        <v/>
      </c>
    </row>
    <row r="1606" customFormat="false" ht="15" hidden="false" customHeight="false" outlineLevel="0" collapsed="false">
      <c r="A1606" s="46" t="s">
        <v>1901</v>
      </c>
      <c r="B1606" s="46"/>
      <c r="C1606" s="46"/>
      <c r="D1606" s="46"/>
      <c r="E1606" s="46"/>
      <c r="F1606" s="46"/>
      <c r="G1606" s="46"/>
      <c r="H1606" s="46"/>
      <c r="I1606" s="46"/>
      <c r="J1606" s="46"/>
      <c r="K1606" s="46"/>
      <c r="L1606" s="46"/>
      <c r="M1606" s="46" t="str">
        <f aca="false">IF(OR(B1606="",I1606=""),"",IFERROR(INDEX('Comment flow'!$C$40:$C$46,MATCH(I1606,'Comment flow'!$A$40:$A$46,0)),""))</f>
        <v/>
      </c>
      <c r="N1606" s="46" t="str">
        <f aca="false">IF(B1606="","",IF(OR(I1606="",I1606="Open: needs a decision",L1606=""),"Open","Closed"))</f>
        <v/>
      </c>
      <c r="O1606" s="46"/>
      <c r="P1606" s="46" t="str">
        <f aca="false">IF(OR(B1606="",I1606&lt;&gt;"Save for a later revision"),"",IF(COUNTIF('Deferred edits'!$K$2:$K$201,A1606)&gt;0,"Yes","● Add to Deferred edits"))</f>
        <v/>
      </c>
    </row>
    <row r="1607" customFormat="false" ht="15" hidden="false" customHeight="false" outlineLevel="0" collapsed="false">
      <c r="A1607" s="46" t="s">
        <v>1902</v>
      </c>
      <c r="B1607" s="46"/>
      <c r="C1607" s="46"/>
      <c r="D1607" s="46"/>
      <c r="E1607" s="46"/>
      <c r="F1607" s="46"/>
      <c r="G1607" s="46"/>
      <c r="H1607" s="46"/>
      <c r="I1607" s="46"/>
      <c r="J1607" s="46"/>
      <c r="K1607" s="46"/>
      <c r="L1607" s="46"/>
      <c r="M1607" s="46" t="str">
        <f aca="false">IF(OR(B1607="",I1607=""),"",IFERROR(INDEX('Comment flow'!$C$40:$C$46,MATCH(I1607,'Comment flow'!$A$40:$A$46,0)),""))</f>
        <v/>
      </c>
      <c r="N1607" s="46" t="str">
        <f aca="false">IF(B1607="","",IF(OR(I1607="",I1607="Open: needs a decision",L1607=""),"Open","Closed"))</f>
        <v/>
      </c>
      <c r="O1607" s="46"/>
      <c r="P1607" s="46" t="str">
        <f aca="false">IF(OR(B1607="",I1607&lt;&gt;"Save for a later revision"),"",IF(COUNTIF('Deferred edits'!$K$2:$K$201,A1607)&gt;0,"Yes","● Add to Deferred edits"))</f>
        <v/>
      </c>
    </row>
    <row r="1608" customFormat="false" ht="15" hidden="false" customHeight="false" outlineLevel="0" collapsed="false">
      <c r="A1608" s="46" t="s">
        <v>1903</v>
      </c>
      <c r="B1608" s="46"/>
      <c r="C1608" s="46"/>
      <c r="D1608" s="46"/>
      <c r="E1608" s="46"/>
      <c r="F1608" s="46"/>
      <c r="G1608" s="46"/>
      <c r="H1608" s="46"/>
      <c r="I1608" s="46"/>
      <c r="J1608" s="46"/>
      <c r="K1608" s="46"/>
      <c r="L1608" s="46"/>
      <c r="M1608" s="46" t="str">
        <f aca="false">IF(OR(B1608="",I1608=""),"",IFERROR(INDEX('Comment flow'!$C$40:$C$46,MATCH(I1608,'Comment flow'!$A$40:$A$46,0)),""))</f>
        <v/>
      </c>
      <c r="N1608" s="46" t="str">
        <f aca="false">IF(B1608="","",IF(OR(I1608="",I1608="Open: needs a decision",L1608=""),"Open","Closed"))</f>
        <v/>
      </c>
      <c r="O1608" s="46"/>
      <c r="P1608" s="46" t="str">
        <f aca="false">IF(OR(B1608="",I1608&lt;&gt;"Save for a later revision"),"",IF(COUNTIF('Deferred edits'!$K$2:$K$201,A1608)&gt;0,"Yes","● Add to Deferred edits"))</f>
        <v/>
      </c>
    </row>
    <row r="1609" customFormat="false" ht="15" hidden="false" customHeight="false" outlineLevel="0" collapsed="false">
      <c r="A1609" s="46" t="s">
        <v>1904</v>
      </c>
      <c r="B1609" s="46"/>
      <c r="C1609" s="46"/>
      <c r="D1609" s="46"/>
      <c r="E1609" s="46"/>
      <c r="F1609" s="46"/>
      <c r="G1609" s="46"/>
      <c r="H1609" s="46"/>
      <c r="I1609" s="46"/>
      <c r="J1609" s="46"/>
      <c r="K1609" s="46"/>
      <c r="L1609" s="46"/>
      <c r="M1609" s="46" t="str">
        <f aca="false">IF(OR(B1609="",I1609=""),"",IFERROR(INDEX('Comment flow'!$C$40:$C$46,MATCH(I1609,'Comment flow'!$A$40:$A$46,0)),""))</f>
        <v/>
      </c>
      <c r="N1609" s="46" t="str">
        <f aca="false">IF(B1609="","",IF(OR(I1609="",I1609="Open: needs a decision",L1609=""),"Open","Closed"))</f>
        <v/>
      </c>
      <c r="O1609" s="46"/>
      <c r="P1609" s="46" t="str">
        <f aca="false">IF(OR(B1609="",I1609&lt;&gt;"Save for a later revision"),"",IF(COUNTIF('Deferred edits'!$K$2:$K$201,A1609)&gt;0,"Yes","● Add to Deferred edits"))</f>
        <v/>
      </c>
    </row>
    <row r="1610" customFormat="false" ht="15" hidden="false" customHeight="false" outlineLevel="0" collapsed="false">
      <c r="A1610" s="46" t="s">
        <v>1905</v>
      </c>
      <c r="B1610" s="46"/>
      <c r="C1610" s="46"/>
      <c r="D1610" s="46"/>
      <c r="E1610" s="46"/>
      <c r="F1610" s="46"/>
      <c r="G1610" s="46"/>
      <c r="H1610" s="46"/>
      <c r="I1610" s="46"/>
      <c r="J1610" s="46"/>
      <c r="K1610" s="46"/>
      <c r="L1610" s="46"/>
      <c r="M1610" s="46" t="str">
        <f aca="false">IF(OR(B1610="",I1610=""),"",IFERROR(INDEX('Comment flow'!$C$40:$C$46,MATCH(I1610,'Comment flow'!$A$40:$A$46,0)),""))</f>
        <v/>
      </c>
      <c r="N1610" s="46" t="str">
        <f aca="false">IF(B1610="","",IF(OR(I1610="",I1610="Open: needs a decision",L1610=""),"Open","Closed"))</f>
        <v/>
      </c>
      <c r="O1610" s="46"/>
      <c r="P1610" s="46" t="str">
        <f aca="false">IF(OR(B1610="",I1610&lt;&gt;"Save for a later revision"),"",IF(COUNTIF('Deferred edits'!$K$2:$K$201,A1610)&gt;0,"Yes","● Add to Deferred edits"))</f>
        <v/>
      </c>
    </row>
    <row r="1611" customFormat="false" ht="15" hidden="false" customHeight="false" outlineLevel="0" collapsed="false">
      <c r="A1611" s="46" t="s">
        <v>1906</v>
      </c>
      <c r="B1611" s="46"/>
      <c r="C1611" s="46"/>
      <c r="D1611" s="46"/>
      <c r="E1611" s="46"/>
      <c r="F1611" s="46"/>
      <c r="G1611" s="46"/>
      <c r="H1611" s="46"/>
      <c r="I1611" s="46"/>
      <c r="J1611" s="46"/>
      <c r="K1611" s="46"/>
      <c r="L1611" s="46"/>
      <c r="M1611" s="46" t="str">
        <f aca="false">IF(OR(B1611="",I1611=""),"",IFERROR(INDEX('Comment flow'!$C$40:$C$46,MATCH(I1611,'Comment flow'!$A$40:$A$46,0)),""))</f>
        <v/>
      </c>
      <c r="N1611" s="46" t="str">
        <f aca="false">IF(B1611="","",IF(OR(I1611="",I1611="Open: needs a decision",L1611=""),"Open","Closed"))</f>
        <v/>
      </c>
      <c r="O1611" s="46"/>
      <c r="P1611" s="46" t="str">
        <f aca="false">IF(OR(B1611="",I1611&lt;&gt;"Save for a later revision"),"",IF(COUNTIF('Deferred edits'!$K$2:$K$201,A1611)&gt;0,"Yes","● Add to Deferred edits"))</f>
        <v/>
      </c>
    </row>
    <row r="1612" customFormat="false" ht="15" hidden="false" customHeight="false" outlineLevel="0" collapsed="false">
      <c r="A1612" s="46" t="s">
        <v>1907</v>
      </c>
      <c r="B1612" s="46"/>
      <c r="C1612" s="46"/>
      <c r="D1612" s="46"/>
      <c r="E1612" s="46"/>
      <c r="F1612" s="46"/>
      <c r="G1612" s="46"/>
      <c r="H1612" s="46"/>
      <c r="I1612" s="46"/>
      <c r="J1612" s="46"/>
      <c r="K1612" s="46"/>
      <c r="L1612" s="46"/>
      <c r="M1612" s="46" t="str">
        <f aca="false">IF(OR(B1612="",I1612=""),"",IFERROR(INDEX('Comment flow'!$C$40:$C$46,MATCH(I1612,'Comment flow'!$A$40:$A$46,0)),""))</f>
        <v/>
      </c>
      <c r="N1612" s="46" t="str">
        <f aca="false">IF(B1612="","",IF(OR(I1612="",I1612="Open: needs a decision",L1612=""),"Open","Closed"))</f>
        <v/>
      </c>
      <c r="O1612" s="46"/>
      <c r="P1612" s="46" t="str">
        <f aca="false">IF(OR(B1612="",I1612&lt;&gt;"Save for a later revision"),"",IF(COUNTIF('Deferred edits'!$K$2:$K$201,A1612)&gt;0,"Yes","● Add to Deferred edits"))</f>
        <v/>
      </c>
    </row>
    <row r="1613" customFormat="false" ht="15" hidden="false" customHeight="false" outlineLevel="0" collapsed="false">
      <c r="A1613" s="46" t="s">
        <v>1908</v>
      </c>
      <c r="B1613" s="46"/>
      <c r="C1613" s="46"/>
      <c r="D1613" s="46"/>
      <c r="E1613" s="46"/>
      <c r="F1613" s="46"/>
      <c r="G1613" s="46"/>
      <c r="H1613" s="46"/>
      <c r="I1613" s="46"/>
      <c r="J1613" s="46"/>
      <c r="K1613" s="46"/>
      <c r="L1613" s="46"/>
      <c r="M1613" s="46" t="str">
        <f aca="false">IF(OR(B1613="",I1613=""),"",IFERROR(INDEX('Comment flow'!$C$40:$C$46,MATCH(I1613,'Comment flow'!$A$40:$A$46,0)),""))</f>
        <v/>
      </c>
      <c r="N1613" s="46" t="str">
        <f aca="false">IF(B1613="","",IF(OR(I1613="",I1613="Open: needs a decision",L1613=""),"Open","Closed"))</f>
        <v/>
      </c>
      <c r="O1613" s="46"/>
      <c r="P1613" s="46" t="str">
        <f aca="false">IF(OR(B1613="",I1613&lt;&gt;"Save for a later revision"),"",IF(COUNTIF('Deferred edits'!$K$2:$K$201,A1613)&gt;0,"Yes","● Add to Deferred edits"))</f>
        <v/>
      </c>
    </row>
    <row r="1614" customFormat="false" ht="15" hidden="false" customHeight="false" outlineLevel="0" collapsed="false">
      <c r="A1614" s="46" t="s">
        <v>1909</v>
      </c>
      <c r="B1614" s="46"/>
      <c r="C1614" s="46"/>
      <c r="D1614" s="46"/>
      <c r="E1614" s="46"/>
      <c r="F1614" s="46"/>
      <c r="G1614" s="46"/>
      <c r="H1614" s="46"/>
      <c r="I1614" s="46"/>
      <c r="J1614" s="46"/>
      <c r="K1614" s="46"/>
      <c r="L1614" s="46"/>
      <c r="M1614" s="46" t="str">
        <f aca="false">IF(OR(B1614="",I1614=""),"",IFERROR(INDEX('Comment flow'!$C$40:$C$46,MATCH(I1614,'Comment flow'!$A$40:$A$46,0)),""))</f>
        <v/>
      </c>
      <c r="N1614" s="46" t="str">
        <f aca="false">IF(B1614="","",IF(OR(I1614="",I1614="Open: needs a decision",L1614=""),"Open","Closed"))</f>
        <v/>
      </c>
      <c r="O1614" s="46"/>
      <c r="P1614" s="46" t="str">
        <f aca="false">IF(OR(B1614="",I1614&lt;&gt;"Save for a later revision"),"",IF(COUNTIF('Deferred edits'!$K$2:$K$201,A1614)&gt;0,"Yes","● Add to Deferred edits"))</f>
        <v/>
      </c>
    </row>
    <row r="1615" customFormat="false" ht="15" hidden="false" customHeight="false" outlineLevel="0" collapsed="false">
      <c r="A1615" s="46" t="s">
        <v>1910</v>
      </c>
      <c r="B1615" s="46"/>
      <c r="C1615" s="46"/>
      <c r="D1615" s="46"/>
      <c r="E1615" s="46"/>
      <c r="F1615" s="46"/>
      <c r="G1615" s="46"/>
      <c r="H1615" s="46"/>
      <c r="I1615" s="46"/>
      <c r="J1615" s="46"/>
      <c r="K1615" s="46"/>
      <c r="L1615" s="46"/>
      <c r="M1615" s="46" t="str">
        <f aca="false">IF(OR(B1615="",I1615=""),"",IFERROR(INDEX('Comment flow'!$C$40:$C$46,MATCH(I1615,'Comment flow'!$A$40:$A$46,0)),""))</f>
        <v/>
      </c>
      <c r="N1615" s="46" t="str">
        <f aca="false">IF(B1615="","",IF(OR(I1615="",I1615="Open: needs a decision",L1615=""),"Open","Closed"))</f>
        <v/>
      </c>
      <c r="O1615" s="46"/>
      <c r="P1615" s="46" t="str">
        <f aca="false">IF(OR(B1615="",I1615&lt;&gt;"Save for a later revision"),"",IF(COUNTIF('Deferred edits'!$K$2:$K$201,A1615)&gt;0,"Yes","● Add to Deferred edits"))</f>
        <v/>
      </c>
    </row>
    <row r="1616" customFormat="false" ht="15" hidden="false" customHeight="false" outlineLevel="0" collapsed="false">
      <c r="A1616" s="46" t="s">
        <v>1911</v>
      </c>
      <c r="B1616" s="46"/>
      <c r="C1616" s="46"/>
      <c r="D1616" s="46"/>
      <c r="E1616" s="46"/>
      <c r="F1616" s="46"/>
      <c r="G1616" s="46"/>
      <c r="H1616" s="46"/>
      <c r="I1616" s="46"/>
      <c r="J1616" s="46"/>
      <c r="K1616" s="46"/>
      <c r="L1616" s="46"/>
      <c r="M1616" s="46" t="str">
        <f aca="false">IF(OR(B1616="",I1616=""),"",IFERROR(INDEX('Comment flow'!$C$40:$C$46,MATCH(I1616,'Comment flow'!$A$40:$A$46,0)),""))</f>
        <v/>
      </c>
      <c r="N1616" s="46" t="str">
        <f aca="false">IF(B1616="","",IF(OR(I1616="",I1616="Open: needs a decision",L1616=""),"Open","Closed"))</f>
        <v/>
      </c>
      <c r="O1616" s="46"/>
      <c r="P1616" s="46" t="str">
        <f aca="false">IF(OR(B1616="",I1616&lt;&gt;"Save for a later revision"),"",IF(COUNTIF('Deferred edits'!$K$2:$K$201,A1616)&gt;0,"Yes","● Add to Deferred edits"))</f>
        <v/>
      </c>
    </row>
    <row r="1617" customFormat="false" ht="15" hidden="false" customHeight="false" outlineLevel="0" collapsed="false">
      <c r="A1617" s="46" t="s">
        <v>1912</v>
      </c>
      <c r="B1617" s="46"/>
      <c r="C1617" s="46"/>
      <c r="D1617" s="46"/>
      <c r="E1617" s="46"/>
      <c r="F1617" s="46"/>
      <c r="G1617" s="46"/>
      <c r="H1617" s="46"/>
      <c r="I1617" s="46"/>
      <c r="J1617" s="46"/>
      <c r="K1617" s="46"/>
      <c r="L1617" s="46"/>
      <c r="M1617" s="46" t="str">
        <f aca="false">IF(OR(B1617="",I1617=""),"",IFERROR(INDEX('Comment flow'!$C$40:$C$46,MATCH(I1617,'Comment flow'!$A$40:$A$46,0)),""))</f>
        <v/>
      </c>
      <c r="N1617" s="46" t="str">
        <f aca="false">IF(B1617="","",IF(OR(I1617="",I1617="Open: needs a decision",L1617=""),"Open","Closed"))</f>
        <v/>
      </c>
      <c r="O1617" s="46"/>
      <c r="P1617" s="46" t="str">
        <f aca="false">IF(OR(B1617="",I1617&lt;&gt;"Save for a later revision"),"",IF(COUNTIF('Deferred edits'!$K$2:$K$201,A1617)&gt;0,"Yes","● Add to Deferred edits"))</f>
        <v/>
      </c>
    </row>
    <row r="1618" customFormat="false" ht="15" hidden="false" customHeight="false" outlineLevel="0" collapsed="false">
      <c r="A1618" s="46" t="s">
        <v>1913</v>
      </c>
      <c r="B1618" s="46"/>
      <c r="C1618" s="46"/>
      <c r="D1618" s="46"/>
      <c r="E1618" s="46"/>
      <c r="F1618" s="46"/>
      <c r="G1618" s="46"/>
      <c r="H1618" s="46"/>
      <c r="I1618" s="46"/>
      <c r="J1618" s="46"/>
      <c r="K1618" s="46"/>
      <c r="L1618" s="46"/>
      <c r="M1618" s="46" t="str">
        <f aca="false">IF(OR(B1618="",I1618=""),"",IFERROR(INDEX('Comment flow'!$C$40:$C$46,MATCH(I1618,'Comment flow'!$A$40:$A$46,0)),""))</f>
        <v/>
      </c>
      <c r="N1618" s="46" t="str">
        <f aca="false">IF(B1618="","",IF(OR(I1618="",I1618="Open: needs a decision",L1618=""),"Open","Closed"))</f>
        <v/>
      </c>
      <c r="O1618" s="46"/>
      <c r="P1618" s="46" t="str">
        <f aca="false">IF(OR(B1618="",I1618&lt;&gt;"Save for a later revision"),"",IF(COUNTIF('Deferred edits'!$K$2:$K$201,A1618)&gt;0,"Yes","● Add to Deferred edits"))</f>
        <v/>
      </c>
    </row>
    <row r="1619" customFormat="false" ht="15" hidden="false" customHeight="false" outlineLevel="0" collapsed="false">
      <c r="A1619" s="46" t="s">
        <v>1914</v>
      </c>
      <c r="B1619" s="46"/>
      <c r="C1619" s="46"/>
      <c r="D1619" s="46"/>
      <c r="E1619" s="46"/>
      <c r="F1619" s="46"/>
      <c r="G1619" s="46"/>
      <c r="H1619" s="46"/>
      <c r="I1619" s="46"/>
      <c r="J1619" s="46"/>
      <c r="K1619" s="46"/>
      <c r="L1619" s="46"/>
      <c r="M1619" s="46" t="str">
        <f aca="false">IF(OR(B1619="",I1619=""),"",IFERROR(INDEX('Comment flow'!$C$40:$C$46,MATCH(I1619,'Comment flow'!$A$40:$A$46,0)),""))</f>
        <v/>
      </c>
      <c r="N1619" s="46" t="str">
        <f aca="false">IF(B1619="","",IF(OR(I1619="",I1619="Open: needs a decision",L1619=""),"Open","Closed"))</f>
        <v/>
      </c>
      <c r="O1619" s="46"/>
      <c r="P1619" s="46" t="str">
        <f aca="false">IF(OR(B1619="",I1619&lt;&gt;"Save for a later revision"),"",IF(COUNTIF('Deferred edits'!$K$2:$K$201,A1619)&gt;0,"Yes","● Add to Deferred edits"))</f>
        <v/>
      </c>
    </row>
    <row r="1620" customFormat="false" ht="15" hidden="false" customHeight="false" outlineLevel="0" collapsed="false">
      <c r="A1620" s="46" t="s">
        <v>1915</v>
      </c>
      <c r="B1620" s="46"/>
      <c r="C1620" s="46"/>
      <c r="D1620" s="46"/>
      <c r="E1620" s="46"/>
      <c r="F1620" s="46"/>
      <c r="G1620" s="46"/>
      <c r="H1620" s="46"/>
      <c r="I1620" s="46"/>
      <c r="J1620" s="46"/>
      <c r="K1620" s="46"/>
      <c r="L1620" s="46"/>
      <c r="M1620" s="46" t="str">
        <f aca="false">IF(OR(B1620="",I1620=""),"",IFERROR(INDEX('Comment flow'!$C$40:$C$46,MATCH(I1620,'Comment flow'!$A$40:$A$46,0)),""))</f>
        <v/>
      </c>
      <c r="N1620" s="46" t="str">
        <f aca="false">IF(B1620="","",IF(OR(I1620="",I1620="Open: needs a decision",L1620=""),"Open","Closed"))</f>
        <v/>
      </c>
      <c r="O1620" s="46"/>
      <c r="P1620" s="46" t="str">
        <f aca="false">IF(OR(B1620="",I1620&lt;&gt;"Save for a later revision"),"",IF(COUNTIF('Deferred edits'!$K$2:$K$201,A1620)&gt;0,"Yes","● Add to Deferred edits"))</f>
        <v/>
      </c>
    </row>
    <row r="1621" customFormat="false" ht="15" hidden="false" customHeight="false" outlineLevel="0" collapsed="false">
      <c r="A1621" s="46" t="s">
        <v>1916</v>
      </c>
      <c r="B1621" s="46"/>
      <c r="C1621" s="46"/>
      <c r="D1621" s="46"/>
      <c r="E1621" s="46"/>
      <c r="F1621" s="46"/>
      <c r="G1621" s="46"/>
      <c r="H1621" s="46"/>
      <c r="I1621" s="46"/>
      <c r="J1621" s="46"/>
      <c r="K1621" s="46"/>
      <c r="L1621" s="46"/>
      <c r="M1621" s="46" t="str">
        <f aca="false">IF(OR(B1621="",I1621=""),"",IFERROR(INDEX('Comment flow'!$C$40:$C$46,MATCH(I1621,'Comment flow'!$A$40:$A$46,0)),""))</f>
        <v/>
      </c>
      <c r="N1621" s="46" t="str">
        <f aca="false">IF(B1621="","",IF(OR(I1621="",I1621="Open: needs a decision",L1621=""),"Open","Closed"))</f>
        <v/>
      </c>
      <c r="O1621" s="46"/>
      <c r="P1621" s="46" t="str">
        <f aca="false">IF(OR(B1621="",I1621&lt;&gt;"Save for a later revision"),"",IF(COUNTIF('Deferred edits'!$K$2:$K$201,A1621)&gt;0,"Yes","● Add to Deferred edits"))</f>
        <v/>
      </c>
    </row>
    <row r="1622" customFormat="false" ht="15" hidden="false" customHeight="false" outlineLevel="0" collapsed="false">
      <c r="A1622" s="46" t="s">
        <v>1917</v>
      </c>
      <c r="B1622" s="46"/>
      <c r="C1622" s="46"/>
      <c r="D1622" s="46"/>
      <c r="E1622" s="46"/>
      <c r="F1622" s="46"/>
      <c r="G1622" s="46"/>
      <c r="H1622" s="46"/>
      <c r="I1622" s="46"/>
      <c r="J1622" s="46"/>
      <c r="K1622" s="46"/>
      <c r="L1622" s="46"/>
      <c r="M1622" s="46" t="str">
        <f aca="false">IF(OR(B1622="",I1622=""),"",IFERROR(INDEX('Comment flow'!$C$40:$C$46,MATCH(I1622,'Comment flow'!$A$40:$A$46,0)),""))</f>
        <v/>
      </c>
      <c r="N1622" s="46" t="str">
        <f aca="false">IF(B1622="","",IF(OR(I1622="",I1622="Open: needs a decision",L1622=""),"Open","Closed"))</f>
        <v/>
      </c>
      <c r="O1622" s="46"/>
      <c r="P1622" s="46" t="str">
        <f aca="false">IF(OR(B1622="",I1622&lt;&gt;"Save for a later revision"),"",IF(COUNTIF('Deferred edits'!$K$2:$K$201,A1622)&gt;0,"Yes","● Add to Deferred edits"))</f>
        <v/>
      </c>
    </row>
    <row r="1623" customFormat="false" ht="15" hidden="false" customHeight="false" outlineLevel="0" collapsed="false">
      <c r="A1623" s="46" t="s">
        <v>1918</v>
      </c>
      <c r="B1623" s="46"/>
      <c r="C1623" s="46"/>
      <c r="D1623" s="46"/>
      <c r="E1623" s="46"/>
      <c r="F1623" s="46"/>
      <c r="G1623" s="46"/>
      <c r="H1623" s="46"/>
      <c r="I1623" s="46"/>
      <c r="J1623" s="46"/>
      <c r="K1623" s="46"/>
      <c r="L1623" s="46"/>
      <c r="M1623" s="46" t="str">
        <f aca="false">IF(OR(B1623="",I1623=""),"",IFERROR(INDEX('Comment flow'!$C$40:$C$46,MATCH(I1623,'Comment flow'!$A$40:$A$46,0)),""))</f>
        <v/>
      </c>
      <c r="N1623" s="46" t="str">
        <f aca="false">IF(B1623="","",IF(OR(I1623="",I1623="Open: needs a decision",L1623=""),"Open","Closed"))</f>
        <v/>
      </c>
      <c r="O1623" s="46"/>
      <c r="P1623" s="46" t="str">
        <f aca="false">IF(OR(B1623="",I1623&lt;&gt;"Save for a later revision"),"",IF(COUNTIF('Deferred edits'!$K$2:$K$201,A1623)&gt;0,"Yes","● Add to Deferred edits"))</f>
        <v/>
      </c>
    </row>
    <row r="1624" customFormat="false" ht="15" hidden="false" customHeight="false" outlineLevel="0" collapsed="false">
      <c r="A1624" s="46" t="s">
        <v>1919</v>
      </c>
      <c r="B1624" s="46"/>
      <c r="C1624" s="46"/>
      <c r="D1624" s="46"/>
      <c r="E1624" s="46"/>
      <c r="F1624" s="46"/>
      <c r="G1624" s="46"/>
      <c r="H1624" s="46"/>
      <c r="I1624" s="46"/>
      <c r="J1624" s="46"/>
      <c r="K1624" s="46"/>
      <c r="L1624" s="46"/>
      <c r="M1624" s="46" t="str">
        <f aca="false">IF(OR(B1624="",I1624=""),"",IFERROR(INDEX('Comment flow'!$C$40:$C$46,MATCH(I1624,'Comment flow'!$A$40:$A$46,0)),""))</f>
        <v/>
      </c>
      <c r="N1624" s="46" t="str">
        <f aca="false">IF(B1624="","",IF(OR(I1624="",I1624="Open: needs a decision",L1624=""),"Open","Closed"))</f>
        <v/>
      </c>
      <c r="O1624" s="46"/>
      <c r="P1624" s="46" t="str">
        <f aca="false">IF(OR(B1624="",I1624&lt;&gt;"Save for a later revision"),"",IF(COUNTIF('Deferred edits'!$K$2:$K$201,A1624)&gt;0,"Yes","● Add to Deferred edits"))</f>
        <v/>
      </c>
    </row>
    <row r="1625" customFormat="false" ht="15" hidden="false" customHeight="false" outlineLevel="0" collapsed="false">
      <c r="A1625" s="46" t="s">
        <v>1920</v>
      </c>
      <c r="B1625" s="46"/>
      <c r="C1625" s="46"/>
      <c r="D1625" s="46"/>
      <c r="E1625" s="46"/>
      <c r="F1625" s="46"/>
      <c r="G1625" s="46"/>
      <c r="H1625" s="46"/>
      <c r="I1625" s="46"/>
      <c r="J1625" s="46"/>
      <c r="K1625" s="46"/>
      <c r="L1625" s="46"/>
      <c r="M1625" s="46" t="str">
        <f aca="false">IF(OR(B1625="",I1625=""),"",IFERROR(INDEX('Comment flow'!$C$40:$C$46,MATCH(I1625,'Comment flow'!$A$40:$A$46,0)),""))</f>
        <v/>
      </c>
      <c r="N1625" s="46" t="str">
        <f aca="false">IF(B1625="","",IF(OR(I1625="",I1625="Open: needs a decision",L1625=""),"Open","Closed"))</f>
        <v/>
      </c>
      <c r="O1625" s="46"/>
      <c r="P1625" s="46" t="str">
        <f aca="false">IF(OR(B1625="",I1625&lt;&gt;"Save for a later revision"),"",IF(COUNTIF('Deferred edits'!$K$2:$K$201,A1625)&gt;0,"Yes","● Add to Deferred edits"))</f>
        <v/>
      </c>
    </row>
    <row r="1626" customFormat="false" ht="15" hidden="false" customHeight="false" outlineLevel="0" collapsed="false">
      <c r="A1626" s="46" t="s">
        <v>1921</v>
      </c>
      <c r="B1626" s="46"/>
      <c r="C1626" s="46"/>
      <c r="D1626" s="46"/>
      <c r="E1626" s="46"/>
      <c r="F1626" s="46"/>
      <c r="G1626" s="46"/>
      <c r="H1626" s="46"/>
      <c r="I1626" s="46"/>
      <c r="J1626" s="46"/>
      <c r="K1626" s="46"/>
      <c r="L1626" s="46"/>
      <c r="M1626" s="46" t="str">
        <f aca="false">IF(OR(B1626="",I1626=""),"",IFERROR(INDEX('Comment flow'!$C$40:$C$46,MATCH(I1626,'Comment flow'!$A$40:$A$46,0)),""))</f>
        <v/>
      </c>
      <c r="N1626" s="46" t="str">
        <f aca="false">IF(B1626="","",IF(OR(I1626="",I1626="Open: needs a decision",L1626=""),"Open","Closed"))</f>
        <v/>
      </c>
      <c r="O1626" s="46"/>
      <c r="P1626" s="46" t="str">
        <f aca="false">IF(OR(B1626="",I1626&lt;&gt;"Save for a later revision"),"",IF(COUNTIF('Deferred edits'!$K$2:$K$201,A1626)&gt;0,"Yes","● Add to Deferred edits"))</f>
        <v/>
      </c>
    </row>
    <row r="1627" customFormat="false" ht="15" hidden="false" customHeight="false" outlineLevel="0" collapsed="false">
      <c r="A1627" s="46" t="s">
        <v>1922</v>
      </c>
      <c r="B1627" s="46"/>
      <c r="C1627" s="46"/>
      <c r="D1627" s="46"/>
      <c r="E1627" s="46"/>
      <c r="F1627" s="46"/>
      <c r="G1627" s="46"/>
      <c r="H1627" s="46"/>
      <c r="I1627" s="46"/>
      <c r="J1627" s="46"/>
      <c r="K1627" s="46"/>
      <c r="L1627" s="46"/>
      <c r="M1627" s="46" t="str">
        <f aca="false">IF(OR(B1627="",I1627=""),"",IFERROR(INDEX('Comment flow'!$C$40:$C$46,MATCH(I1627,'Comment flow'!$A$40:$A$46,0)),""))</f>
        <v/>
      </c>
      <c r="N1627" s="46" t="str">
        <f aca="false">IF(B1627="","",IF(OR(I1627="",I1627="Open: needs a decision",L1627=""),"Open","Closed"))</f>
        <v/>
      </c>
      <c r="O1627" s="46"/>
      <c r="P1627" s="46" t="str">
        <f aca="false">IF(OR(B1627="",I1627&lt;&gt;"Save for a later revision"),"",IF(COUNTIF('Deferred edits'!$K$2:$K$201,A1627)&gt;0,"Yes","● Add to Deferred edits"))</f>
        <v/>
      </c>
    </row>
    <row r="1628" customFormat="false" ht="15" hidden="false" customHeight="false" outlineLevel="0" collapsed="false">
      <c r="A1628" s="46" t="s">
        <v>1923</v>
      </c>
      <c r="B1628" s="46"/>
      <c r="C1628" s="46"/>
      <c r="D1628" s="46"/>
      <c r="E1628" s="46"/>
      <c r="F1628" s="46"/>
      <c r="G1628" s="46"/>
      <c r="H1628" s="46"/>
      <c r="I1628" s="46"/>
      <c r="J1628" s="46"/>
      <c r="K1628" s="46"/>
      <c r="L1628" s="46"/>
      <c r="M1628" s="46" t="str">
        <f aca="false">IF(OR(B1628="",I1628=""),"",IFERROR(INDEX('Comment flow'!$C$40:$C$46,MATCH(I1628,'Comment flow'!$A$40:$A$46,0)),""))</f>
        <v/>
      </c>
      <c r="N1628" s="46" t="str">
        <f aca="false">IF(B1628="","",IF(OR(I1628="",I1628="Open: needs a decision",L1628=""),"Open","Closed"))</f>
        <v/>
      </c>
      <c r="O1628" s="46"/>
      <c r="P1628" s="46" t="str">
        <f aca="false">IF(OR(B1628="",I1628&lt;&gt;"Save for a later revision"),"",IF(COUNTIF('Deferred edits'!$K$2:$K$201,A1628)&gt;0,"Yes","● Add to Deferred edits"))</f>
        <v/>
      </c>
    </row>
    <row r="1629" customFormat="false" ht="15" hidden="false" customHeight="false" outlineLevel="0" collapsed="false">
      <c r="A1629" s="46" t="s">
        <v>1924</v>
      </c>
      <c r="B1629" s="46"/>
      <c r="C1629" s="46"/>
      <c r="D1629" s="46"/>
      <c r="E1629" s="46"/>
      <c r="F1629" s="46"/>
      <c r="G1629" s="46"/>
      <c r="H1629" s="46"/>
      <c r="I1629" s="46"/>
      <c r="J1629" s="46"/>
      <c r="K1629" s="46"/>
      <c r="L1629" s="46"/>
      <c r="M1629" s="46" t="str">
        <f aca="false">IF(OR(B1629="",I1629=""),"",IFERROR(INDEX('Comment flow'!$C$40:$C$46,MATCH(I1629,'Comment flow'!$A$40:$A$46,0)),""))</f>
        <v/>
      </c>
      <c r="N1629" s="46" t="str">
        <f aca="false">IF(B1629="","",IF(OR(I1629="",I1629="Open: needs a decision",L1629=""),"Open","Closed"))</f>
        <v/>
      </c>
      <c r="O1629" s="46"/>
      <c r="P1629" s="46" t="str">
        <f aca="false">IF(OR(B1629="",I1629&lt;&gt;"Save for a later revision"),"",IF(COUNTIF('Deferred edits'!$K$2:$K$201,A1629)&gt;0,"Yes","● Add to Deferred edits"))</f>
        <v/>
      </c>
    </row>
    <row r="1630" customFormat="false" ht="15" hidden="false" customHeight="false" outlineLevel="0" collapsed="false">
      <c r="A1630" s="46" t="s">
        <v>1925</v>
      </c>
      <c r="B1630" s="46"/>
      <c r="C1630" s="46"/>
      <c r="D1630" s="46"/>
      <c r="E1630" s="46"/>
      <c r="F1630" s="46"/>
      <c r="G1630" s="46"/>
      <c r="H1630" s="46"/>
      <c r="I1630" s="46"/>
      <c r="J1630" s="46"/>
      <c r="K1630" s="46"/>
      <c r="L1630" s="46"/>
      <c r="M1630" s="46" t="str">
        <f aca="false">IF(OR(B1630="",I1630=""),"",IFERROR(INDEX('Comment flow'!$C$40:$C$46,MATCH(I1630,'Comment flow'!$A$40:$A$46,0)),""))</f>
        <v/>
      </c>
      <c r="N1630" s="46" t="str">
        <f aca="false">IF(B1630="","",IF(OR(I1630="",I1630="Open: needs a decision",L1630=""),"Open","Closed"))</f>
        <v/>
      </c>
      <c r="O1630" s="46"/>
      <c r="P1630" s="46" t="str">
        <f aca="false">IF(OR(B1630="",I1630&lt;&gt;"Save for a later revision"),"",IF(COUNTIF('Deferred edits'!$K$2:$K$201,A1630)&gt;0,"Yes","● Add to Deferred edits"))</f>
        <v/>
      </c>
    </row>
    <row r="1631" customFormat="false" ht="15" hidden="false" customHeight="false" outlineLevel="0" collapsed="false">
      <c r="A1631" s="46" t="s">
        <v>1926</v>
      </c>
      <c r="B1631" s="46"/>
      <c r="C1631" s="46"/>
      <c r="D1631" s="46"/>
      <c r="E1631" s="46"/>
      <c r="F1631" s="46"/>
      <c r="G1631" s="46"/>
      <c r="H1631" s="46"/>
      <c r="I1631" s="46"/>
      <c r="J1631" s="46"/>
      <c r="K1631" s="46"/>
      <c r="L1631" s="46"/>
      <c r="M1631" s="46" t="str">
        <f aca="false">IF(OR(B1631="",I1631=""),"",IFERROR(INDEX('Comment flow'!$C$40:$C$46,MATCH(I1631,'Comment flow'!$A$40:$A$46,0)),""))</f>
        <v/>
      </c>
      <c r="N1631" s="46" t="str">
        <f aca="false">IF(B1631="","",IF(OR(I1631="",I1631="Open: needs a decision",L1631=""),"Open","Closed"))</f>
        <v/>
      </c>
      <c r="O1631" s="46"/>
      <c r="P1631" s="46" t="str">
        <f aca="false">IF(OR(B1631="",I1631&lt;&gt;"Save for a later revision"),"",IF(COUNTIF('Deferred edits'!$K$2:$K$201,A1631)&gt;0,"Yes","● Add to Deferred edits"))</f>
        <v/>
      </c>
    </row>
    <row r="1632" customFormat="false" ht="15" hidden="false" customHeight="false" outlineLevel="0" collapsed="false">
      <c r="A1632" s="46" t="s">
        <v>1927</v>
      </c>
      <c r="B1632" s="46"/>
      <c r="C1632" s="46"/>
      <c r="D1632" s="46"/>
      <c r="E1632" s="46"/>
      <c r="F1632" s="46"/>
      <c r="G1632" s="46"/>
      <c r="H1632" s="46"/>
      <c r="I1632" s="46"/>
      <c r="J1632" s="46"/>
      <c r="K1632" s="46"/>
      <c r="L1632" s="46"/>
      <c r="M1632" s="46" t="str">
        <f aca="false">IF(OR(B1632="",I1632=""),"",IFERROR(INDEX('Comment flow'!$C$40:$C$46,MATCH(I1632,'Comment flow'!$A$40:$A$46,0)),""))</f>
        <v/>
      </c>
      <c r="N1632" s="46" t="str">
        <f aca="false">IF(B1632="","",IF(OR(I1632="",I1632="Open: needs a decision",L1632=""),"Open","Closed"))</f>
        <v/>
      </c>
      <c r="O1632" s="46"/>
      <c r="P1632" s="46" t="str">
        <f aca="false">IF(OR(B1632="",I1632&lt;&gt;"Save for a later revision"),"",IF(COUNTIF('Deferred edits'!$K$2:$K$201,A1632)&gt;0,"Yes","● Add to Deferred edits"))</f>
        <v/>
      </c>
    </row>
    <row r="1633" customFormat="false" ht="15" hidden="false" customHeight="false" outlineLevel="0" collapsed="false">
      <c r="A1633" s="46" t="s">
        <v>1928</v>
      </c>
      <c r="B1633" s="46"/>
      <c r="C1633" s="46"/>
      <c r="D1633" s="46"/>
      <c r="E1633" s="46"/>
      <c r="F1633" s="46"/>
      <c r="G1633" s="46"/>
      <c r="H1633" s="46"/>
      <c r="I1633" s="46"/>
      <c r="J1633" s="46"/>
      <c r="K1633" s="46"/>
      <c r="L1633" s="46"/>
      <c r="M1633" s="46" t="str">
        <f aca="false">IF(OR(B1633="",I1633=""),"",IFERROR(INDEX('Comment flow'!$C$40:$C$46,MATCH(I1633,'Comment flow'!$A$40:$A$46,0)),""))</f>
        <v/>
      </c>
      <c r="N1633" s="46" t="str">
        <f aca="false">IF(B1633="","",IF(OR(I1633="",I1633="Open: needs a decision",L1633=""),"Open","Closed"))</f>
        <v/>
      </c>
      <c r="O1633" s="46"/>
      <c r="P1633" s="46" t="str">
        <f aca="false">IF(OR(B1633="",I1633&lt;&gt;"Save for a later revision"),"",IF(COUNTIF('Deferred edits'!$K$2:$K$201,A1633)&gt;0,"Yes","● Add to Deferred edits"))</f>
        <v/>
      </c>
    </row>
    <row r="1634" customFormat="false" ht="15" hidden="false" customHeight="false" outlineLevel="0" collapsed="false">
      <c r="A1634" s="46" t="s">
        <v>1929</v>
      </c>
      <c r="B1634" s="46"/>
      <c r="C1634" s="46"/>
      <c r="D1634" s="46"/>
      <c r="E1634" s="46"/>
      <c r="F1634" s="46"/>
      <c r="G1634" s="46"/>
      <c r="H1634" s="46"/>
      <c r="I1634" s="46"/>
      <c r="J1634" s="46"/>
      <c r="K1634" s="46"/>
      <c r="L1634" s="46"/>
      <c r="M1634" s="46" t="str">
        <f aca="false">IF(OR(B1634="",I1634=""),"",IFERROR(INDEX('Comment flow'!$C$40:$C$46,MATCH(I1634,'Comment flow'!$A$40:$A$46,0)),""))</f>
        <v/>
      </c>
      <c r="N1634" s="46" t="str">
        <f aca="false">IF(B1634="","",IF(OR(I1634="",I1634="Open: needs a decision",L1634=""),"Open","Closed"))</f>
        <v/>
      </c>
      <c r="O1634" s="46"/>
      <c r="P1634" s="46" t="str">
        <f aca="false">IF(OR(B1634="",I1634&lt;&gt;"Save for a later revision"),"",IF(COUNTIF('Deferred edits'!$K$2:$K$201,A1634)&gt;0,"Yes","● Add to Deferred edits"))</f>
        <v/>
      </c>
    </row>
    <row r="1635" customFormat="false" ht="15" hidden="false" customHeight="false" outlineLevel="0" collapsed="false">
      <c r="A1635" s="46" t="s">
        <v>1930</v>
      </c>
      <c r="B1635" s="46"/>
      <c r="C1635" s="46"/>
      <c r="D1635" s="46"/>
      <c r="E1635" s="46"/>
      <c r="F1635" s="46"/>
      <c r="G1635" s="46"/>
      <c r="H1635" s="46"/>
      <c r="I1635" s="46"/>
      <c r="J1635" s="46"/>
      <c r="K1635" s="46"/>
      <c r="L1635" s="46"/>
      <c r="M1635" s="46" t="str">
        <f aca="false">IF(OR(B1635="",I1635=""),"",IFERROR(INDEX('Comment flow'!$C$40:$C$46,MATCH(I1635,'Comment flow'!$A$40:$A$46,0)),""))</f>
        <v/>
      </c>
      <c r="N1635" s="46" t="str">
        <f aca="false">IF(B1635="","",IF(OR(I1635="",I1635="Open: needs a decision",L1635=""),"Open","Closed"))</f>
        <v/>
      </c>
      <c r="O1635" s="46"/>
      <c r="P1635" s="46" t="str">
        <f aca="false">IF(OR(B1635="",I1635&lt;&gt;"Save for a later revision"),"",IF(COUNTIF('Deferred edits'!$K$2:$K$201,A1635)&gt;0,"Yes","● Add to Deferred edits"))</f>
        <v/>
      </c>
    </row>
    <row r="1636" customFormat="false" ht="15" hidden="false" customHeight="false" outlineLevel="0" collapsed="false">
      <c r="A1636" s="46" t="s">
        <v>1931</v>
      </c>
      <c r="B1636" s="46"/>
      <c r="C1636" s="46"/>
      <c r="D1636" s="46"/>
      <c r="E1636" s="46"/>
      <c r="F1636" s="46"/>
      <c r="G1636" s="46"/>
      <c r="H1636" s="46"/>
      <c r="I1636" s="46"/>
      <c r="J1636" s="46"/>
      <c r="K1636" s="46"/>
      <c r="L1636" s="46"/>
      <c r="M1636" s="46" t="str">
        <f aca="false">IF(OR(B1636="",I1636=""),"",IFERROR(INDEX('Comment flow'!$C$40:$C$46,MATCH(I1636,'Comment flow'!$A$40:$A$46,0)),""))</f>
        <v/>
      </c>
      <c r="N1636" s="46" t="str">
        <f aca="false">IF(B1636="","",IF(OR(I1636="",I1636="Open: needs a decision",L1636=""),"Open","Closed"))</f>
        <v/>
      </c>
      <c r="O1636" s="46"/>
      <c r="P1636" s="46" t="str">
        <f aca="false">IF(OR(B1636="",I1636&lt;&gt;"Save for a later revision"),"",IF(COUNTIF('Deferred edits'!$K$2:$K$201,A1636)&gt;0,"Yes","● Add to Deferred edits"))</f>
        <v/>
      </c>
    </row>
    <row r="1637" customFormat="false" ht="15" hidden="false" customHeight="false" outlineLevel="0" collapsed="false">
      <c r="A1637" s="46" t="s">
        <v>1932</v>
      </c>
      <c r="B1637" s="46"/>
      <c r="C1637" s="46"/>
      <c r="D1637" s="46"/>
      <c r="E1637" s="46"/>
      <c r="F1637" s="46"/>
      <c r="G1637" s="46"/>
      <c r="H1637" s="46"/>
      <c r="I1637" s="46"/>
      <c r="J1637" s="46"/>
      <c r="K1637" s="46"/>
      <c r="L1637" s="46"/>
      <c r="M1637" s="46" t="str">
        <f aca="false">IF(OR(B1637="",I1637=""),"",IFERROR(INDEX('Comment flow'!$C$40:$C$46,MATCH(I1637,'Comment flow'!$A$40:$A$46,0)),""))</f>
        <v/>
      </c>
      <c r="N1637" s="46" t="str">
        <f aca="false">IF(B1637="","",IF(OR(I1637="",I1637="Open: needs a decision",L1637=""),"Open","Closed"))</f>
        <v/>
      </c>
      <c r="O1637" s="46"/>
      <c r="P1637" s="46" t="str">
        <f aca="false">IF(OR(B1637="",I1637&lt;&gt;"Save for a later revision"),"",IF(COUNTIF('Deferred edits'!$K$2:$K$201,A1637)&gt;0,"Yes","● Add to Deferred edits"))</f>
        <v/>
      </c>
    </row>
    <row r="1638" customFormat="false" ht="15" hidden="false" customHeight="false" outlineLevel="0" collapsed="false">
      <c r="A1638" s="46" t="s">
        <v>1933</v>
      </c>
      <c r="B1638" s="46"/>
      <c r="C1638" s="46"/>
      <c r="D1638" s="46"/>
      <c r="E1638" s="46"/>
      <c r="F1638" s="46"/>
      <c r="G1638" s="46"/>
      <c r="H1638" s="46"/>
      <c r="I1638" s="46"/>
      <c r="J1638" s="46"/>
      <c r="K1638" s="46"/>
      <c r="L1638" s="46"/>
      <c r="M1638" s="46" t="str">
        <f aca="false">IF(OR(B1638="",I1638=""),"",IFERROR(INDEX('Comment flow'!$C$40:$C$46,MATCH(I1638,'Comment flow'!$A$40:$A$46,0)),""))</f>
        <v/>
      </c>
      <c r="N1638" s="46" t="str">
        <f aca="false">IF(B1638="","",IF(OR(I1638="",I1638="Open: needs a decision",L1638=""),"Open","Closed"))</f>
        <v/>
      </c>
      <c r="O1638" s="46"/>
      <c r="P1638" s="46" t="str">
        <f aca="false">IF(OR(B1638="",I1638&lt;&gt;"Save for a later revision"),"",IF(COUNTIF('Deferred edits'!$K$2:$K$201,A1638)&gt;0,"Yes","● Add to Deferred edits"))</f>
        <v/>
      </c>
    </row>
    <row r="1639" customFormat="false" ht="15" hidden="false" customHeight="false" outlineLevel="0" collapsed="false">
      <c r="A1639" s="46" t="s">
        <v>1934</v>
      </c>
      <c r="B1639" s="46"/>
      <c r="C1639" s="46"/>
      <c r="D1639" s="46"/>
      <c r="E1639" s="46"/>
      <c r="F1639" s="46"/>
      <c r="G1639" s="46"/>
      <c r="H1639" s="46"/>
      <c r="I1639" s="46"/>
      <c r="J1639" s="46"/>
      <c r="K1639" s="46"/>
      <c r="L1639" s="46"/>
      <c r="M1639" s="46" t="str">
        <f aca="false">IF(OR(B1639="",I1639=""),"",IFERROR(INDEX('Comment flow'!$C$40:$C$46,MATCH(I1639,'Comment flow'!$A$40:$A$46,0)),""))</f>
        <v/>
      </c>
      <c r="N1639" s="46" t="str">
        <f aca="false">IF(B1639="","",IF(OR(I1639="",I1639="Open: needs a decision",L1639=""),"Open","Closed"))</f>
        <v/>
      </c>
      <c r="O1639" s="46"/>
      <c r="P1639" s="46" t="str">
        <f aca="false">IF(OR(B1639="",I1639&lt;&gt;"Save for a later revision"),"",IF(COUNTIF('Deferred edits'!$K$2:$K$201,A1639)&gt;0,"Yes","● Add to Deferred edits"))</f>
        <v/>
      </c>
    </row>
    <row r="1640" customFormat="false" ht="15" hidden="false" customHeight="false" outlineLevel="0" collapsed="false">
      <c r="A1640" s="46" t="s">
        <v>1935</v>
      </c>
      <c r="B1640" s="46"/>
      <c r="C1640" s="46"/>
      <c r="D1640" s="46"/>
      <c r="E1640" s="46"/>
      <c r="F1640" s="46"/>
      <c r="G1640" s="46"/>
      <c r="H1640" s="46"/>
      <c r="I1640" s="46"/>
      <c r="J1640" s="46"/>
      <c r="K1640" s="46"/>
      <c r="L1640" s="46"/>
      <c r="M1640" s="46" t="str">
        <f aca="false">IF(OR(B1640="",I1640=""),"",IFERROR(INDEX('Comment flow'!$C$40:$C$46,MATCH(I1640,'Comment flow'!$A$40:$A$46,0)),""))</f>
        <v/>
      </c>
      <c r="N1640" s="46" t="str">
        <f aca="false">IF(B1640="","",IF(OR(I1640="",I1640="Open: needs a decision",L1640=""),"Open","Closed"))</f>
        <v/>
      </c>
      <c r="O1640" s="46"/>
      <c r="P1640" s="46" t="str">
        <f aca="false">IF(OR(B1640="",I1640&lt;&gt;"Save for a later revision"),"",IF(COUNTIF('Deferred edits'!$K$2:$K$201,A1640)&gt;0,"Yes","● Add to Deferred edits"))</f>
        <v/>
      </c>
    </row>
    <row r="1641" customFormat="false" ht="15" hidden="false" customHeight="false" outlineLevel="0" collapsed="false">
      <c r="A1641" s="46" t="s">
        <v>1936</v>
      </c>
      <c r="B1641" s="46"/>
      <c r="C1641" s="46"/>
      <c r="D1641" s="46"/>
      <c r="E1641" s="46"/>
      <c r="F1641" s="46"/>
      <c r="G1641" s="46"/>
      <c r="H1641" s="46"/>
      <c r="I1641" s="46"/>
      <c r="J1641" s="46"/>
      <c r="K1641" s="46"/>
      <c r="L1641" s="46"/>
      <c r="M1641" s="46" t="str">
        <f aca="false">IF(OR(B1641="",I1641=""),"",IFERROR(INDEX('Comment flow'!$C$40:$C$46,MATCH(I1641,'Comment flow'!$A$40:$A$46,0)),""))</f>
        <v/>
      </c>
      <c r="N1641" s="46" t="str">
        <f aca="false">IF(B1641="","",IF(OR(I1641="",I1641="Open: needs a decision",L1641=""),"Open","Closed"))</f>
        <v/>
      </c>
      <c r="O1641" s="46"/>
      <c r="P1641" s="46" t="str">
        <f aca="false">IF(OR(B1641="",I1641&lt;&gt;"Save for a later revision"),"",IF(COUNTIF('Deferred edits'!$K$2:$K$201,A1641)&gt;0,"Yes","● Add to Deferred edits"))</f>
        <v/>
      </c>
    </row>
    <row r="1642" customFormat="false" ht="15" hidden="false" customHeight="false" outlineLevel="0" collapsed="false">
      <c r="A1642" s="46" t="s">
        <v>1937</v>
      </c>
      <c r="B1642" s="46"/>
      <c r="C1642" s="46"/>
      <c r="D1642" s="46"/>
      <c r="E1642" s="46"/>
      <c r="F1642" s="46"/>
      <c r="G1642" s="46"/>
      <c r="H1642" s="46"/>
      <c r="I1642" s="46"/>
      <c r="J1642" s="46"/>
      <c r="K1642" s="46"/>
      <c r="L1642" s="46"/>
      <c r="M1642" s="46" t="str">
        <f aca="false">IF(OR(B1642="",I1642=""),"",IFERROR(INDEX('Comment flow'!$C$40:$C$46,MATCH(I1642,'Comment flow'!$A$40:$A$46,0)),""))</f>
        <v/>
      </c>
      <c r="N1642" s="46" t="str">
        <f aca="false">IF(B1642="","",IF(OR(I1642="",I1642="Open: needs a decision",L1642=""),"Open","Closed"))</f>
        <v/>
      </c>
      <c r="O1642" s="46"/>
      <c r="P1642" s="46" t="str">
        <f aca="false">IF(OR(B1642="",I1642&lt;&gt;"Save for a later revision"),"",IF(COUNTIF('Deferred edits'!$K$2:$K$201,A1642)&gt;0,"Yes","● Add to Deferred edits"))</f>
        <v/>
      </c>
    </row>
    <row r="1643" customFormat="false" ht="15" hidden="false" customHeight="false" outlineLevel="0" collapsed="false">
      <c r="A1643" s="46" t="s">
        <v>1938</v>
      </c>
      <c r="B1643" s="46"/>
      <c r="C1643" s="46"/>
      <c r="D1643" s="46"/>
      <c r="E1643" s="46"/>
      <c r="F1643" s="46"/>
      <c r="G1643" s="46"/>
      <c r="H1643" s="46"/>
      <c r="I1643" s="46"/>
      <c r="J1643" s="46"/>
      <c r="K1643" s="46"/>
      <c r="L1643" s="46"/>
      <c r="M1643" s="46" t="str">
        <f aca="false">IF(OR(B1643="",I1643=""),"",IFERROR(INDEX('Comment flow'!$C$40:$C$46,MATCH(I1643,'Comment flow'!$A$40:$A$46,0)),""))</f>
        <v/>
      </c>
      <c r="N1643" s="46" t="str">
        <f aca="false">IF(B1643="","",IF(OR(I1643="",I1643="Open: needs a decision",L1643=""),"Open","Closed"))</f>
        <v/>
      </c>
      <c r="O1643" s="46"/>
      <c r="P1643" s="46" t="str">
        <f aca="false">IF(OR(B1643="",I1643&lt;&gt;"Save for a later revision"),"",IF(COUNTIF('Deferred edits'!$K$2:$K$201,A1643)&gt;0,"Yes","● Add to Deferred edits"))</f>
        <v/>
      </c>
    </row>
    <row r="1644" customFormat="false" ht="15" hidden="false" customHeight="false" outlineLevel="0" collapsed="false">
      <c r="A1644" s="46" t="s">
        <v>1939</v>
      </c>
      <c r="B1644" s="46"/>
      <c r="C1644" s="46"/>
      <c r="D1644" s="46"/>
      <c r="E1644" s="46"/>
      <c r="F1644" s="46"/>
      <c r="G1644" s="46"/>
      <c r="H1644" s="46"/>
      <c r="I1644" s="46"/>
      <c r="J1644" s="46"/>
      <c r="K1644" s="46"/>
      <c r="L1644" s="46"/>
      <c r="M1644" s="46" t="str">
        <f aca="false">IF(OR(B1644="",I1644=""),"",IFERROR(INDEX('Comment flow'!$C$40:$C$46,MATCH(I1644,'Comment flow'!$A$40:$A$46,0)),""))</f>
        <v/>
      </c>
      <c r="N1644" s="46" t="str">
        <f aca="false">IF(B1644="","",IF(OR(I1644="",I1644="Open: needs a decision",L1644=""),"Open","Closed"))</f>
        <v/>
      </c>
      <c r="O1644" s="46"/>
      <c r="P1644" s="46" t="str">
        <f aca="false">IF(OR(B1644="",I1644&lt;&gt;"Save for a later revision"),"",IF(COUNTIF('Deferred edits'!$K$2:$K$201,A1644)&gt;0,"Yes","● Add to Deferred edits"))</f>
        <v/>
      </c>
    </row>
    <row r="1645" customFormat="false" ht="15" hidden="false" customHeight="false" outlineLevel="0" collapsed="false">
      <c r="A1645" s="46" t="s">
        <v>1940</v>
      </c>
      <c r="B1645" s="46"/>
      <c r="C1645" s="46"/>
      <c r="D1645" s="46"/>
      <c r="E1645" s="46"/>
      <c r="F1645" s="46"/>
      <c r="G1645" s="46"/>
      <c r="H1645" s="46"/>
      <c r="I1645" s="46"/>
      <c r="J1645" s="46"/>
      <c r="K1645" s="46"/>
      <c r="L1645" s="46"/>
      <c r="M1645" s="46" t="str">
        <f aca="false">IF(OR(B1645="",I1645=""),"",IFERROR(INDEX('Comment flow'!$C$40:$C$46,MATCH(I1645,'Comment flow'!$A$40:$A$46,0)),""))</f>
        <v/>
      </c>
      <c r="N1645" s="46" t="str">
        <f aca="false">IF(B1645="","",IF(OR(I1645="",I1645="Open: needs a decision",L1645=""),"Open","Closed"))</f>
        <v/>
      </c>
      <c r="O1645" s="46"/>
      <c r="P1645" s="46" t="str">
        <f aca="false">IF(OR(B1645="",I1645&lt;&gt;"Save for a later revision"),"",IF(COUNTIF('Deferred edits'!$K$2:$K$201,A1645)&gt;0,"Yes","● Add to Deferred edits"))</f>
        <v/>
      </c>
    </row>
    <row r="1646" customFormat="false" ht="15" hidden="false" customHeight="false" outlineLevel="0" collapsed="false">
      <c r="A1646" s="46" t="s">
        <v>1941</v>
      </c>
      <c r="B1646" s="46"/>
      <c r="C1646" s="46"/>
      <c r="D1646" s="46"/>
      <c r="E1646" s="46"/>
      <c r="F1646" s="46"/>
      <c r="G1646" s="46"/>
      <c r="H1646" s="46"/>
      <c r="I1646" s="46"/>
      <c r="J1646" s="46"/>
      <c r="K1646" s="46"/>
      <c r="L1646" s="46"/>
      <c r="M1646" s="46" t="str">
        <f aca="false">IF(OR(B1646="",I1646=""),"",IFERROR(INDEX('Comment flow'!$C$40:$C$46,MATCH(I1646,'Comment flow'!$A$40:$A$46,0)),""))</f>
        <v/>
      </c>
      <c r="N1646" s="46" t="str">
        <f aca="false">IF(B1646="","",IF(OR(I1646="",I1646="Open: needs a decision",L1646=""),"Open","Closed"))</f>
        <v/>
      </c>
      <c r="O1646" s="46"/>
      <c r="P1646" s="46" t="str">
        <f aca="false">IF(OR(B1646="",I1646&lt;&gt;"Save for a later revision"),"",IF(COUNTIF('Deferred edits'!$K$2:$K$201,A1646)&gt;0,"Yes","● Add to Deferred edits"))</f>
        <v/>
      </c>
    </row>
    <row r="1647" customFormat="false" ht="15" hidden="false" customHeight="false" outlineLevel="0" collapsed="false">
      <c r="A1647" s="46" t="s">
        <v>1942</v>
      </c>
      <c r="B1647" s="46"/>
      <c r="C1647" s="46"/>
      <c r="D1647" s="46"/>
      <c r="E1647" s="46"/>
      <c r="F1647" s="46"/>
      <c r="G1647" s="46"/>
      <c r="H1647" s="46"/>
      <c r="I1647" s="46"/>
      <c r="J1647" s="46"/>
      <c r="K1647" s="46"/>
      <c r="L1647" s="46"/>
      <c r="M1647" s="46" t="str">
        <f aca="false">IF(OR(B1647="",I1647=""),"",IFERROR(INDEX('Comment flow'!$C$40:$C$46,MATCH(I1647,'Comment flow'!$A$40:$A$46,0)),""))</f>
        <v/>
      </c>
      <c r="N1647" s="46" t="str">
        <f aca="false">IF(B1647="","",IF(OR(I1647="",I1647="Open: needs a decision",L1647=""),"Open","Closed"))</f>
        <v/>
      </c>
      <c r="O1647" s="46"/>
      <c r="P1647" s="46" t="str">
        <f aca="false">IF(OR(B1647="",I1647&lt;&gt;"Save for a later revision"),"",IF(COUNTIF('Deferred edits'!$K$2:$K$201,A1647)&gt;0,"Yes","● Add to Deferred edits"))</f>
        <v/>
      </c>
    </row>
    <row r="1648" customFormat="false" ht="15" hidden="false" customHeight="false" outlineLevel="0" collapsed="false">
      <c r="A1648" s="46" t="s">
        <v>1943</v>
      </c>
      <c r="B1648" s="46"/>
      <c r="C1648" s="46"/>
      <c r="D1648" s="46"/>
      <c r="E1648" s="46"/>
      <c r="F1648" s="46"/>
      <c r="G1648" s="46"/>
      <c r="H1648" s="46"/>
      <c r="I1648" s="46"/>
      <c r="J1648" s="46"/>
      <c r="K1648" s="46"/>
      <c r="L1648" s="46"/>
      <c r="M1648" s="46" t="str">
        <f aca="false">IF(OR(B1648="",I1648=""),"",IFERROR(INDEX('Comment flow'!$C$40:$C$46,MATCH(I1648,'Comment flow'!$A$40:$A$46,0)),""))</f>
        <v/>
      </c>
      <c r="N1648" s="46" t="str">
        <f aca="false">IF(B1648="","",IF(OR(I1648="",I1648="Open: needs a decision",L1648=""),"Open","Closed"))</f>
        <v/>
      </c>
      <c r="O1648" s="46"/>
      <c r="P1648" s="46" t="str">
        <f aca="false">IF(OR(B1648="",I1648&lt;&gt;"Save for a later revision"),"",IF(COUNTIF('Deferred edits'!$K$2:$K$201,A1648)&gt;0,"Yes","● Add to Deferred edits"))</f>
        <v/>
      </c>
    </row>
    <row r="1649" customFormat="false" ht="15" hidden="false" customHeight="false" outlineLevel="0" collapsed="false">
      <c r="A1649" s="46" t="s">
        <v>1944</v>
      </c>
      <c r="B1649" s="46"/>
      <c r="C1649" s="46"/>
      <c r="D1649" s="46"/>
      <c r="E1649" s="46"/>
      <c r="F1649" s="46"/>
      <c r="G1649" s="46"/>
      <c r="H1649" s="46"/>
      <c r="I1649" s="46"/>
      <c r="J1649" s="46"/>
      <c r="K1649" s="46"/>
      <c r="L1649" s="46"/>
      <c r="M1649" s="46" t="str">
        <f aca="false">IF(OR(B1649="",I1649=""),"",IFERROR(INDEX('Comment flow'!$C$40:$C$46,MATCH(I1649,'Comment flow'!$A$40:$A$46,0)),""))</f>
        <v/>
      </c>
      <c r="N1649" s="46" t="str">
        <f aca="false">IF(B1649="","",IF(OR(I1649="",I1649="Open: needs a decision",L1649=""),"Open","Closed"))</f>
        <v/>
      </c>
      <c r="O1649" s="46"/>
      <c r="P1649" s="46" t="str">
        <f aca="false">IF(OR(B1649="",I1649&lt;&gt;"Save for a later revision"),"",IF(COUNTIF('Deferred edits'!$K$2:$K$201,A1649)&gt;0,"Yes","● Add to Deferred edits"))</f>
        <v/>
      </c>
    </row>
    <row r="1650" customFormat="false" ht="15" hidden="false" customHeight="false" outlineLevel="0" collapsed="false">
      <c r="A1650" s="46" t="s">
        <v>1945</v>
      </c>
      <c r="B1650" s="46"/>
      <c r="C1650" s="46"/>
      <c r="D1650" s="46"/>
      <c r="E1650" s="46"/>
      <c r="F1650" s="46"/>
      <c r="G1650" s="46"/>
      <c r="H1650" s="46"/>
      <c r="I1650" s="46"/>
      <c r="J1650" s="46"/>
      <c r="K1650" s="46"/>
      <c r="L1650" s="46"/>
      <c r="M1650" s="46" t="str">
        <f aca="false">IF(OR(B1650="",I1650=""),"",IFERROR(INDEX('Comment flow'!$C$40:$C$46,MATCH(I1650,'Comment flow'!$A$40:$A$46,0)),""))</f>
        <v/>
      </c>
      <c r="N1650" s="46" t="str">
        <f aca="false">IF(B1650="","",IF(OR(I1650="",I1650="Open: needs a decision",L1650=""),"Open","Closed"))</f>
        <v/>
      </c>
      <c r="O1650" s="46"/>
      <c r="P1650" s="46" t="str">
        <f aca="false">IF(OR(B1650="",I1650&lt;&gt;"Save for a later revision"),"",IF(COUNTIF('Deferred edits'!$K$2:$K$201,A1650)&gt;0,"Yes","● Add to Deferred edits"))</f>
        <v/>
      </c>
    </row>
    <row r="1651" customFormat="false" ht="15" hidden="false" customHeight="false" outlineLevel="0" collapsed="false">
      <c r="A1651" s="46" t="s">
        <v>1946</v>
      </c>
      <c r="B1651" s="46"/>
      <c r="C1651" s="46"/>
      <c r="D1651" s="46"/>
      <c r="E1651" s="46"/>
      <c r="F1651" s="46"/>
      <c r="G1651" s="46"/>
      <c r="H1651" s="46"/>
      <c r="I1651" s="46"/>
      <c r="J1651" s="46"/>
      <c r="K1651" s="46"/>
      <c r="L1651" s="46"/>
      <c r="M1651" s="46" t="str">
        <f aca="false">IF(OR(B1651="",I1651=""),"",IFERROR(INDEX('Comment flow'!$C$40:$C$46,MATCH(I1651,'Comment flow'!$A$40:$A$46,0)),""))</f>
        <v/>
      </c>
      <c r="N1651" s="46" t="str">
        <f aca="false">IF(B1651="","",IF(OR(I1651="",I1651="Open: needs a decision",L1651=""),"Open","Closed"))</f>
        <v/>
      </c>
      <c r="O1651" s="46"/>
      <c r="P1651" s="46" t="str">
        <f aca="false">IF(OR(B1651="",I1651&lt;&gt;"Save for a later revision"),"",IF(COUNTIF('Deferred edits'!$K$2:$K$201,A1651)&gt;0,"Yes","● Add to Deferred edits"))</f>
        <v/>
      </c>
    </row>
    <row r="1652" customFormat="false" ht="15" hidden="false" customHeight="false" outlineLevel="0" collapsed="false">
      <c r="A1652" s="46" t="s">
        <v>1947</v>
      </c>
      <c r="B1652" s="46"/>
      <c r="C1652" s="46"/>
      <c r="D1652" s="46"/>
      <c r="E1652" s="46"/>
      <c r="F1652" s="46"/>
      <c r="G1652" s="46"/>
      <c r="H1652" s="46"/>
      <c r="I1652" s="46"/>
      <c r="J1652" s="46"/>
      <c r="K1652" s="46"/>
      <c r="L1652" s="46"/>
      <c r="M1652" s="46" t="str">
        <f aca="false">IF(OR(B1652="",I1652=""),"",IFERROR(INDEX('Comment flow'!$C$40:$C$46,MATCH(I1652,'Comment flow'!$A$40:$A$46,0)),""))</f>
        <v/>
      </c>
      <c r="N1652" s="46" t="str">
        <f aca="false">IF(B1652="","",IF(OR(I1652="",I1652="Open: needs a decision",L1652=""),"Open","Closed"))</f>
        <v/>
      </c>
      <c r="O1652" s="46"/>
      <c r="P1652" s="46" t="str">
        <f aca="false">IF(OR(B1652="",I1652&lt;&gt;"Save for a later revision"),"",IF(COUNTIF('Deferred edits'!$K$2:$K$201,A1652)&gt;0,"Yes","● Add to Deferred edits"))</f>
        <v/>
      </c>
    </row>
    <row r="1653" customFormat="false" ht="15" hidden="false" customHeight="false" outlineLevel="0" collapsed="false">
      <c r="A1653" s="46" t="s">
        <v>1948</v>
      </c>
      <c r="B1653" s="46"/>
      <c r="C1653" s="46"/>
      <c r="D1653" s="46"/>
      <c r="E1653" s="46"/>
      <c r="F1653" s="46"/>
      <c r="G1653" s="46"/>
      <c r="H1653" s="46"/>
      <c r="I1653" s="46"/>
      <c r="J1653" s="46"/>
      <c r="K1653" s="46"/>
      <c r="L1653" s="46"/>
      <c r="M1653" s="46" t="str">
        <f aca="false">IF(OR(B1653="",I1653=""),"",IFERROR(INDEX('Comment flow'!$C$40:$C$46,MATCH(I1653,'Comment flow'!$A$40:$A$46,0)),""))</f>
        <v/>
      </c>
      <c r="N1653" s="46" t="str">
        <f aca="false">IF(B1653="","",IF(OR(I1653="",I1653="Open: needs a decision",L1653=""),"Open","Closed"))</f>
        <v/>
      </c>
      <c r="O1653" s="46"/>
      <c r="P1653" s="46" t="str">
        <f aca="false">IF(OR(B1653="",I1653&lt;&gt;"Save for a later revision"),"",IF(COUNTIF('Deferred edits'!$K$2:$K$201,A1653)&gt;0,"Yes","● Add to Deferred edits"))</f>
        <v/>
      </c>
    </row>
    <row r="1654" customFormat="false" ht="15" hidden="false" customHeight="false" outlineLevel="0" collapsed="false">
      <c r="A1654" s="46" t="s">
        <v>1949</v>
      </c>
      <c r="B1654" s="46"/>
      <c r="C1654" s="46"/>
      <c r="D1654" s="46"/>
      <c r="E1654" s="46"/>
      <c r="F1654" s="46"/>
      <c r="G1654" s="46"/>
      <c r="H1654" s="46"/>
      <c r="I1654" s="46"/>
      <c r="J1654" s="46"/>
      <c r="K1654" s="46"/>
      <c r="L1654" s="46"/>
      <c r="M1654" s="46" t="str">
        <f aca="false">IF(OR(B1654="",I1654=""),"",IFERROR(INDEX('Comment flow'!$C$40:$C$46,MATCH(I1654,'Comment flow'!$A$40:$A$46,0)),""))</f>
        <v/>
      </c>
      <c r="N1654" s="46" t="str">
        <f aca="false">IF(B1654="","",IF(OR(I1654="",I1654="Open: needs a decision",L1654=""),"Open","Closed"))</f>
        <v/>
      </c>
      <c r="O1654" s="46"/>
      <c r="P1654" s="46" t="str">
        <f aca="false">IF(OR(B1654="",I1654&lt;&gt;"Save for a later revision"),"",IF(COUNTIF('Deferred edits'!$K$2:$K$201,A1654)&gt;0,"Yes","● Add to Deferred edits"))</f>
        <v/>
      </c>
    </row>
    <row r="1655" customFormat="false" ht="15" hidden="false" customHeight="false" outlineLevel="0" collapsed="false">
      <c r="A1655" s="46" t="s">
        <v>1950</v>
      </c>
      <c r="B1655" s="46"/>
      <c r="C1655" s="46"/>
      <c r="D1655" s="46"/>
      <c r="E1655" s="46"/>
      <c r="F1655" s="46"/>
      <c r="G1655" s="46"/>
      <c r="H1655" s="46"/>
      <c r="I1655" s="46"/>
      <c r="J1655" s="46"/>
      <c r="K1655" s="46"/>
      <c r="L1655" s="46"/>
      <c r="M1655" s="46" t="str">
        <f aca="false">IF(OR(B1655="",I1655=""),"",IFERROR(INDEX('Comment flow'!$C$40:$C$46,MATCH(I1655,'Comment flow'!$A$40:$A$46,0)),""))</f>
        <v/>
      </c>
      <c r="N1655" s="46" t="str">
        <f aca="false">IF(B1655="","",IF(OR(I1655="",I1655="Open: needs a decision",L1655=""),"Open","Closed"))</f>
        <v/>
      </c>
      <c r="O1655" s="46"/>
      <c r="P1655" s="46" t="str">
        <f aca="false">IF(OR(B1655="",I1655&lt;&gt;"Save for a later revision"),"",IF(COUNTIF('Deferred edits'!$K$2:$K$201,A1655)&gt;0,"Yes","● Add to Deferred edits"))</f>
        <v/>
      </c>
    </row>
    <row r="1656" customFormat="false" ht="15" hidden="false" customHeight="false" outlineLevel="0" collapsed="false">
      <c r="A1656" s="46" t="s">
        <v>1951</v>
      </c>
      <c r="B1656" s="46"/>
      <c r="C1656" s="46"/>
      <c r="D1656" s="46"/>
      <c r="E1656" s="46"/>
      <c r="F1656" s="46"/>
      <c r="G1656" s="46"/>
      <c r="H1656" s="46"/>
      <c r="I1656" s="46"/>
      <c r="J1656" s="46"/>
      <c r="K1656" s="46"/>
      <c r="L1656" s="46"/>
      <c r="M1656" s="46" t="str">
        <f aca="false">IF(OR(B1656="",I1656=""),"",IFERROR(INDEX('Comment flow'!$C$40:$C$46,MATCH(I1656,'Comment flow'!$A$40:$A$46,0)),""))</f>
        <v/>
      </c>
      <c r="N1656" s="46" t="str">
        <f aca="false">IF(B1656="","",IF(OR(I1656="",I1656="Open: needs a decision",L1656=""),"Open","Closed"))</f>
        <v/>
      </c>
      <c r="O1656" s="46"/>
      <c r="P1656" s="46" t="str">
        <f aca="false">IF(OR(B1656="",I1656&lt;&gt;"Save for a later revision"),"",IF(COUNTIF('Deferred edits'!$K$2:$K$201,A1656)&gt;0,"Yes","● Add to Deferred edits"))</f>
        <v/>
      </c>
    </row>
    <row r="1657" customFormat="false" ht="15" hidden="false" customHeight="false" outlineLevel="0" collapsed="false">
      <c r="A1657" s="46" t="s">
        <v>1952</v>
      </c>
      <c r="B1657" s="46"/>
      <c r="C1657" s="46"/>
      <c r="D1657" s="46"/>
      <c r="E1657" s="46"/>
      <c r="F1657" s="46"/>
      <c r="G1657" s="46"/>
      <c r="H1657" s="46"/>
      <c r="I1657" s="46"/>
      <c r="J1657" s="46"/>
      <c r="K1657" s="46"/>
      <c r="L1657" s="46"/>
      <c r="M1657" s="46" t="str">
        <f aca="false">IF(OR(B1657="",I1657=""),"",IFERROR(INDEX('Comment flow'!$C$40:$C$46,MATCH(I1657,'Comment flow'!$A$40:$A$46,0)),""))</f>
        <v/>
      </c>
      <c r="N1657" s="46" t="str">
        <f aca="false">IF(B1657="","",IF(OR(I1657="",I1657="Open: needs a decision",L1657=""),"Open","Closed"))</f>
        <v/>
      </c>
      <c r="O1657" s="46"/>
      <c r="P1657" s="46" t="str">
        <f aca="false">IF(OR(B1657="",I1657&lt;&gt;"Save for a later revision"),"",IF(COUNTIF('Deferred edits'!$K$2:$K$201,A1657)&gt;0,"Yes","● Add to Deferred edits"))</f>
        <v/>
      </c>
    </row>
    <row r="1658" customFormat="false" ht="15" hidden="false" customHeight="false" outlineLevel="0" collapsed="false">
      <c r="A1658" s="46" t="s">
        <v>1953</v>
      </c>
      <c r="B1658" s="46"/>
      <c r="C1658" s="46"/>
      <c r="D1658" s="46"/>
      <c r="E1658" s="46"/>
      <c r="F1658" s="46"/>
      <c r="G1658" s="46"/>
      <c r="H1658" s="46"/>
      <c r="I1658" s="46"/>
      <c r="J1658" s="46"/>
      <c r="K1658" s="46"/>
      <c r="L1658" s="46"/>
      <c r="M1658" s="46" t="str">
        <f aca="false">IF(OR(B1658="",I1658=""),"",IFERROR(INDEX('Comment flow'!$C$40:$C$46,MATCH(I1658,'Comment flow'!$A$40:$A$46,0)),""))</f>
        <v/>
      </c>
      <c r="N1658" s="46" t="str">
        <f aca="false">IF(B1658="","",IF(OR(I1658="",I1658="Open: needs a decision",L1658=""),"Open","Closed"))</f>
        <v/>
      </c>
      <c r="O1658" s="46"/>
      <c r="P1658" s="46" t="str">
        <f aca="false">IF(OR(B1658="",I1658&lt;&gt;"Save for a later revision"),"",IF(COUNTIF('Deferred edits'!$K$2:$K$201,A1658)&gt;0,"Yes","● Add to Deferred edits"))</f>
        <v/>
      </c>
    </row>
    <row r="1659" customFormat="false" ht="15" hidden="false" customHeight="false" outlineLevel="0" collapsed="false">
      <c r="A1659" s="46" t="s">
        <v>1954</v>
      </c>
      <c r="B1659" s="46"/>
      <c r="C1659" s="46"/>
      <c r="D1659" s="46"/>
      <c r="E1659" s="46"/>
      <c r="F1659" s="46"/>
      <c r="G1659" s="46"/>
      <c r="H1659" s="46"/>
      <c r="I1659" s="46"/>
      <c r="J1659" s="46"/>
      <c r="K1659" s="46"/>
      <c r="L1659" s="46"/>
      <c r="M1659" s="46" t="str">
        <f aca="false">IF(OR(B1659="",I1659=""),"",IFERROR(INDEX('Comment flow'!$C$40:$C$46,MATCH(I1659,'Comment flow'!$A$40:$A$46,0)),""))</f>
        <v/>
      </c>
      <c r="N1659" s="46" t="str">
        <f aca="false">IF(B1659="","",IF(OR(I1659="",I1659="Open: needs a decision",L1659=""),"Open","Closed"))</f>
        <v/>
      </c>
      <c r="O1659" s="46"/>
      <c r="P1659" s="46" t="str">
        <f aca="false">IF(OR(B1659="",I1659&lt;&gt;"Save for a later revision"),"",IF(COUNTIF('Deferred edits'!$K$2:$K$201,A1659)&gt;0,"Yes","● Add to Deferred edits"))</f>
        <v/>
      </c>
    </row>
    <row r="1660" customFormat="false" ht="15" hidden="false" customHeight="false" outlineLevel="0" collapsed="false">
      <c r="A1660" s="46" t="s">
        <v>1955</v>
      </c>
      <c r="B1660" s="46"/>
      <c r="C1660" s="46"/>
      <c r="D1660" s="46"/>
      <c r="E1660" s="46"/>
      <c r="F1660" s="46"/>
      <c r="G1660" s="46"/>
      <c r="H1660" s="46"/>
      <c r="I1660" s="46"/>
      <c r="J1660" s="46"/>
      <c r="K1660" s="46"/>
      <c r="L1660" s="46"/>
      <c r="M1660" s="46" t="str">
        <f aca="false">IF(OR(B1660="",I1660=""),"",IFERROR(INDEX('Comment flow'!$C$40:$C$46,MATCH(I1660,'Comment flow'!$A$40:$A$46,0)),""))</f>
        <v/>
      </c>
      <c r="N1660" s="46" t="str">
        <f aca="false">IF(B1660="","",IF(OR(I1660="",I1660="Open: needs a decision",L1660=""),"Open","Closed"))</f>
        <v/>
      </c>
      <c r="O1660" s="46"/>
      <c r="P1660" s="46" t="str">
        <f aca="false">IF(OR(B1660="",I1660&lt;&gt;"Save for a later revision"),"",IF(COUNTIF('Deferred edits'!$K$2:$K$201,A1660)&gt;0,"Yes","● Add to Deferred edits"))</f>
        <v/>
      </c>
    </row>
    <row r="1661" customFormat="false" ht="15" hidden="false" customHeight="false" outlineLevel="0" collapsed="false">
      <c r="A1661" s="46" t="s">
        <v>1956</v>
      </c>
      <c r="B1661" s="46"/>
      <c r="C1661" s="46"/>
      <c r="D1661" s="46"/>
      <c r="E1661" s="46"/>
      <c r="F1661" s="46"/>
      <c r="G1661" s="46"/>
      <c r="H1661" s="46"/>
      <c r="I1661" s="46"/>
      <c r="J1661" s="46"/>
      <c r="K1661" s="46"/>
      <c r="L1661" s="46"/>
      <c r="M1661" s="46" t="str">
        <f aca="false">IF(OR(B1661="",I1661=""),"",IFERROR(INDEX('Comment flow'!$C$40:$C$46,MATCH(I1661,'Comment flow'!$A$40:$A$46,0)),""))</f>
        <v/>
      </c>
      <c r="N1661" s="46" t="str">
        <f aca="false">IF(B1661="","",IF(OR(I1661="",I1661="Open: needs a decision",L1661=""),"Open","Closed"))</f>
        <v/>
      </c>
      <c r="O1661" s="46"/>
      <c r="P1661" s="46" t="str">
        <f aca="false">IF(OR(B1661="",I1661&lt;&gt;"Save for a later revision"),"",IF(COUNTIF('Deferred edits'!$K$2:$K$201,A1661)&gt;0,"Yes","● Add to Deferred edits"))</f>
        <v/>
      </c>
    </row>
    <row r="1662" customFormat="false" ht="15" hidden="false" customHeight="false" outlineLevel="0" collapsed="false">
      <c r="A1662" s="46" t="s">
        <v>1957</v>
      </c>
      <c r="B1662" s="46"/>
      <c r="C1662" s="46"/>
      <c r="D1662" s="46"/>
      <c r="E1662" s="46"/>
      <c r="F1662" s="46"/>
      <c r="G1662" s="46"/>
      <c r="H1662" s="46"/>
      <c r="I1662" s="46"/>
      <c r="J1662" s="46"/>
      <c r="K1662" s="46"/>
      <c r="L1662" s="46"/>
      <c r="M1662" s="46" t="str">
        <f aca="false">IF(OR(B1662="",I1662=""),"",IFERROR(INDEX('Comment flow'!$C$40:$C$46,MATCH(I1662,'Comment flow'!$A$40:$A$46,0)),""))</f>
        <v/>
      </c>
      <c r="N1662" s="46" t="str">
        <f aca="false">IF(B1662="","",IF(OR(I1662="",I1662="Open: needs a decision",L1662=""),"Open","Closed"))</f>
        <v/>
      </c>
      <c r="O1662" s="46"/>
      <c r="P1662" s="46" t="str">
        <f aca="false">IF(OR(B1662="",I1662&lt;&gt;"Save for a later revision"),"",IF(COUNTIF('Deferred edits'!$K$2:$K$201,A1662)&gt;0,"Yes","● Add to Deferred edits"))</f>
        <v/>
      </c>
    </row>
    <row r="1663" customFormat="false" ht="15" hidden="false" customHeight="false" outlineLevel="0" collapsed="false">
      <c r="A1663" s="46" t="s">
        <v>1958</v>
      </c>
      <c r="B1663" s="46"/>
      <c r="C1663" s="46"/>
      <c r="D1663" s="46"/>
      <c r="E1663" s="46"/>
      <c r="F1663" s="46"/>
      <c r="G1663" s="46"/>
      <c r="H1663" s="46"/>
      <c r="I1663" s="46"/>
      <c r="J1663" s="46"/>
      <c r="K1663" s="46"/>
      <c r="L1663" s="46"/>
      <c r="M1663" s="46" t="str">
        <f aca="false">IF(OR(B1663="",I1663=""),"",IFERROR(INDEX('Comment flow'!$C$40:$C$46,MATCH(I1663,'Comment flow'!$A$40:$A$46,0)),""))</f>
        <v/>
      </c>
      <c r="N1663" s="46" t="str">
        <f aca="false">IF(B1663="","",IF(OR(I1663="",I1663="Open: needs a decision",L1663=""),"Open","Closed"))</f>
        <v/>
      </c>
      <c r="O1663" s="46"/>
      <c r="P1663" s="46" t="str">
        <f aca="false">IF(OR(B1663="",I1663&lt;&gt;"Save for a later revision"),"",IF(COUNTIF('Deferred edits'!$K$2:$K$201,A1663)&gt;0,"Yes","● Add to Deferred edits"))</f>
        <v/>
      </c>
    </row>
    <row r="1664" customFormat="false" ht="15" hidden="false" customHeight="false" outlineLevel="0" collapsed="false">
      <c r="A1664" s="46" t="s">
        <v>1959</v>
      </c>
      <c r="B1664" s="46"/>
      <c r="C1664" s="46"/>
      <c r="D1664" s="46"/>
      <c r="E1664" s="46"/>
      <c r="F1664" s="46"/>
      <c r="G1664" s="46"/>
      <c r="H1664" s="46"/>
      <c r="I1664" s="46"/>
      <c r="J1664" s="46"/>
      <c r="K1664" s="46"/>
      <c r="L1664" s="46"/>
      <c r="M1664" s="46" t="str">
        <f aca="false">IF(OR(B1664="",I1664=""),"",IFERROR(INDEX('Comment flow'!$C$40:$C$46,MATCH(I1664,'Comment flow'!$A$40:$A$46,0)),""))</f>
        <v/>
      </c>
      <c r="N1664" s="46" t="str">
        <f aca="false">IF(B1664="","",IF(OR(I1664="",I1664="Open: needs a decision",L1664=""),"Open","Closed"))</f>
        <v/>
      </c>
      <c r="O1664" s="46"/>
      <c r="P1664" s="46" t="str">
        <f aca="false">IF(OR(B1664="",I1664&lt;&gt;"Save for a later revision"),"",IF(COUNTIF('Deferred edits'!$K$2:$K$201,A1664)&gt;0,"Yes","● Add to Deferred edits"))</f>
        <v/>
      </c>
    </row>
    <row r="1665" customFormat="false" ht="15" hidden="false" customHeight="false" outlineLevel="0" collapsed="false">
      <c r="A1665" s="46" t="s">
        <v>1960</v>
      </c>
      <c r="B1665" s="46"/>
      <c r="C1665" s="46"/>
      <c r="D1665" s="46"/>
      <c r="E1665" s="46"/>
      <c r="F1665" s="46"/>
      <c r="G1665" s="46"/>
      <c r="H1665" s="46"/>
      <c r="I1665" s="46"/>
      <c r="J1665" s="46"/>
      <c r="K1665" s="46"/>
      <c r="L1665" s="46"/>
      <c r="M1665" s="46" t="str">
        <f aca="false">IF(OR(B1665="",I1665=""),"",IFERROR(INDEX('Comment flow'!$C$40:$C$46,MATCH(I1665,'Comment flow'!$A$40:$A$46,0)),""))</f>
        <v/>
      </c>
      <c r="N1665" s="46" t="str">
        <f aca="false">IF(B1665="","",IF(OR(I1665="",I1665="Open: needs a decision",L1665=""),"Open","Closed"))</f>
        <v/>
      </c>
      <c r="O1665" s="46"/>
      <c r="P1665" s="46" t="str">
        <f aca="false">IF(OR(B1665="",I1665&lt;&gt;"Save for a later revision"),"",IF(COUNTIF('Deferred edits'!$K$2:$K$201,A1665)&gt;0,"Yes","● Add to Deferred edits"))</f>
        <v/>
      </c>
    </row>
    <row r="1666" customFormat="false" ht="15" hidden="false" customHeight="false" outlineLevel="0" collapsed="false">
      <c r="A1666" s="46" t="s">
        <v>1961</v>
      </c>
      <c r="B1666" s="46"/>
      <c r="C1666" s="46"/>
      <c r="D1666" s="46"/>
      <c r="E1666" s="46"/>
      <c r="F1666" s="46"/>
      <c r="G1666" s="46"/>
      <c r="H1666" s="46"/>
      <c r="I1666" s="46"/>
      <c r="J1666" s="46"/>
      <c r="K1666" s="46"/>
      <c r="L1666" s="46"/>
      <c r="M1666" s="46" t="str">
        <f aca="false">IF(OR(B1666="",I1666=""),"",IFERROR(INDEX('Comment flow'!$C$40:$C$46,MATCH(I1666,'Comment flow'!$A$40:$A$46,0)),""))</f>
        <v/>
      </c>
      <c r="N1666" s="46" t="str">
        <f aca="false">IF(B1666="","",IF(OR(I1666="",I1666="Open: needs a decision",L1666=""),"Open","Closed"))</f>
        <v/>
      </c>
      <c r="O1666" s="46"/>
      <c r="P1666" s="46" t="str">
        <f aca="false">IF(OR(B1666="",I1666&lt;&gt;"Save for a later revision"),"",IF(COUNTIF('Deferred edits'!$K$2:$K$201,A1666)&gt;0,"Yes","● Add to Deferred edits"))</f>
        <v/>
      </c>
    </row>
    <row r="1667" customFormat="false" ht="15" hidden="false" customHeight="false" outlineLevel="0" collapsed="false">
      <c r="A1667" s="46" t="s">
        <v>1962</v>
      </c>
      <c r="B1667" s="46"/>
      <c r="C1667" s="46"/>
      <c r="D1667" s="46"/>
      <c r="E1667" s="46"/>
      <c r="F1667" s="46"/>
      <c r="G1667" s="46"/>
      <c r="H1667" s="46"/>
      <c r="I1667" s="46"/>
      <c r="J1667" s="46"/>
      <c r="K1667" s="46"/>
      <c r="L1667" s="46"/>
      <c r="M1667" s="46" t="str">
        <f aca="false">IF(OR(B1667="",I1667=""),"",IFERROR(INDEX('Comment flow'!$C$40:$C$46,MATCH(I1667,'Comment flow'!$A$40:$A$46,0)),""))</f>
        <v/>
      </c>
      <c r="N1667" s="46" t="str">
        <f aca="false">IF(B1667="","",IF(OR(I1667="",I1667="Open: needs a decision",L1667=""),"Open","Closed"))</f>
        <v/>
      </c>
      <c r="O1667" s="46"/>
      <c r="P1667" s="46" t="str">
        <f aca="false">IF(OR(B1667="",I1667&lt;&gt;"Save for a later revision"),"",IF(COUNTIF('Deferred edits'!$K$2:$K$201,A1667)&gt;0,"Yes","● Add to Deferred edits"))</f>
        <v/>
      </c>
    </row>
    <row r="1668" customFormat="false" ht="15" hidden="false" customHeight="false" outlineLevel="0" collapsed="false">
      <c r="A1668" s="46" t="s">
        <v>1963</v>
      </c>
      <c r="B1668" s="46"/>
      <c r="C1668" s="46"/>
      <c r="D1668" s="46"/>
      <c r="E1668" s="46"/>
      <c r="F1668" s="46"/>
      <c r="G1668" s="46"/>
      <c r="H1668" s="46"/>
      <c r="I1668" s="46"/>
      <c r="J1668" s="46"/>
      <c r="K1668" s="46"/>
      <c r="L1668" s="46"/>
      <c r="M1668" s="46" t="str">
        <f aca="false">IF(OR(B1668="",I1668=""),"",IFERROR(INDEX('Comment flow'!$C$40:$C$46,MATCH(I1668,'Comment flow'!$A$40:$A$46,0)),""))</f>
        <v/>
      </c>
      <c r="N1668" s="46" t="str">
        <f aca="false">IF(B1668="","",IF(OR(I1668="",I1668="Open: needs a decision",L1668=""),"Open","Closed"))</f>
        <v/>
      </c>
      <c r="O1668" s="46"/>
      <c r="P1668" s="46" t="str">
        <f aca="false">IF(OR(B1668="",I1668&lt;&gt;"Save for a later revision"),"",IF(COUNTIF('Deferred edits'!$K$2:$K$201,A1668)&gt;0,"Yes","● Add to Deferred edits"))</f>
        <v/>
      </c>
    </row>
    <row r="1669" customFormat="false" ht="15" hidden="false" customHeight="false" outlineLevel="0" collapsed="false">
      <c r="A1669" s="46" t="s">
        <v>1964</v>
      </c>
      <c r="B1669" s="46"/>
      <c r="C1669" s="46"/>
      <c r="D1669" s="46"/>
      <c r="E1669" s="46"/>
      <c r="F1669" s="46"/>
      <c r="G1669" s="46"/>
      <c r="H1669" s="46"/>
      <c r="I1669" s="46"/>
      <c r="J1669" s="46"/>
      <c r="K1669" s="46"/>
      <c r="L1669" s="46"/>
      <c r="M1669" s="46" t="str">
        <f aca="false">IF(OR(B1669="",I1669=""),"",IFERROR(INDEX('Comment flow'!$C$40:$C$46,MATCH(I1669,'Comment flow'!$A$40:$A$46,0)),""))</f>
        <v/>
      </c>
      <c r="N1669" s="46" t="str">
        <f aca="false">IF(B1669="","",IF(OR(I1669="",I1669="Open: needs a decision",L1669=""),"Open","Closed"))</f>
        <v/>
      </c>
      <c r="O1669" s="46"/>
      <c r="P1669" s="46" t="str">
        <f aca="false">IF(OR(B1669="",I1669&lt;&gt;"Save for a later revision"),"",IF(COUNTIF('Deferred edits'!$K$2:$K$201,A1669)&gt;0,"Yes","● Add to Deferred edits"))</f>
        <v/>
      </c>
    </row>
    <row r="1670" customFormat="false" ht="15" hidden="false" customHeight="false" outlineLevel="0" collapsed="false">
      <c r="A1670" s="46" t="s">
        <v>1965</v>
      </c>
      <c r="B1670" s="46"/>
      <c r="C1670" s="46"/>
      <c r="D1670" s="46"/>
      <c r="E1670" s="46"/>
      <c r="F1670" s="46"/>
      <c r="G1670" s="46"/>
      <c r="H1670" s="46"/>
      <c r="I1670" s="46"/>
      <c r="J1670" s="46"/>
      <c r="K1670" s="46"/>
      <c r="L1670" s="46"/>
      <c r="M1670" s="46" t="str">
        <f aca="false">IF(OR(B1670="",I1670=""),"",IFERROR(INDEX('Comment flow'!$C$40:$C$46,MATCH(I1670,'Comment flow'!$A$40:$A$46,0)),""))</f>
        <v/>
      </c>
      <c r="N1670" s="46" t="str">
        <f aca="false">IF(B1670="","",IF(OR(I1670="",I1670="Open: needs a decision",L1670=""),"Open","Closed"))</f>
        <v/>
      </c>
      <c r="O1670" s="46"/>
      <c r="P1670" s="46" t="str">
        <f aca="false">IF(OR(B1670="",I1670&lt;&gt;"Save for a later revision"),"",IF(COUNTIF('Deferred edits'!$K$2:$K$201,A1670)&gt;0,"Yes","● Add to Deferred edits"))</f>
        <v/>
      </c>
    </row>
    <row r="1671" customFormat="false" ht="15" hidden="false" customHeight="false" outlineLevel="0" collapsed="false">
      <c r="A1671" s="46" t="s">
        <v>1966</v>
      </c>
      <c r="B1671" s="46"/>
      <c r="C1671" s="46"/>
      <c r="D1671" s="46"/>
      <c r="E1671" s="46"/>
      <c r="F1671" s="46"/>
      <c r="G1671" s="46"/>
      <c r="H1671" s="46"/>
      <c r="I1671" s="46"/>
      <c r="J1671" s="46"/>
      <c r="K1671" s="46"/>
      <c r="L1671" s="46"/>
      <c r="M1671" s="46" t="str">
        <f aca="false">IF(OR(B1671="",I1671=""),"",IFERROR(INDEX('Comment flow'!$C$40:$C$46,MATCH(I1671,'Comment flow'!$A$40:$A$46,0)),""))</f>
        <v/>
      </c>
      <c r="N1671" s="46" t="str">
        <f aca="false">IF(B1671="","",IF(OR(I1671="",I1671="Open: needs a decision",L1671=""),"Open","Closed"))</f>
        <v/>
      </c>
      <c r="O1671" s="46"/>
      <c r="P1671" s="46" t="str">
        <f aca="false">IF(OR(B1671="",I1671&lt;&gt;"Save for a later revision"),"",IF(COUNTIF('Deferred edits'!$K$2:$K$201,A1671)&gt;0,"Yes","● Add to Deferred edits"))</f>
        <v/>
      </c>
    </row>
    <row r="1672" customFormat="false" ht="15" hidden="false" customHeight="false" outlineLevel="0" collapsed="false">
      <c r="A1672" s="46" t="s">
        <v>1967</v>
      </c>
      <c r="B1672" s="46"/>
      <c r="C1672" s="46"/>
      <c r="D1672" s="46"/>
      <c r="E1672" s="46"/>
      <c r="F1672" s="46"/>
      <c r="G1672" s="46"/>
      <c r="H1672" s="46"/>
      <c r="I1672" s="46"/>
      <c r="J1672" s="46"/>
      <c r="K1672" s="46"/>
      <c r="L1672" s="46"/>
      <c r="M1672" s="46" t="str">
        <f aca="false">IF(OR(B1672="",I1672=""),"",IFERROR(INDEX('Comment flow'!$C$40:$C$46,MATCH(I1672,'Comment flow'!$A$40:$A$46,0)),""))</f>
        <v/>
      </c>
      <c r="N1672" s="46" t="str">
        <f aca="false">IF(B1672="","",IF(OR(I1672="",I1672="Open: needs a decision",L1672=""),"Open","Closed"))</f>
        <v/>
      </c>
      <c r="O1672" s="46"/>
      <c r="P1672" s="46" t="str">
        <f aca="false">IF(OR(B1672="",I1672&lt;&gt;"Save for a later revision"),"",IF(COUNTIF('Deferred edits'!$K$2:$K$201,A1672)&gt;0,"Yes","● Add to Deferred edits"))</f>
        <v/>
      </c>
    </row>
    <row r="1673" customFormat="false" ht="15" hidden="false" customHeight="false" outlineLevel="0" collapsed="false">
      <c r="A1673" s="46" t="s">
        <v>1968</v>
      </c>
      <c r="B1673" s="46"/>
      <c r="C1673" s="46"/>
      <c r="D1673" s="46"/>
      <c r="E1673" s="46"/>
      <c r="F1673" s="46"/>
      <c r="G1673" s="46"/>
      <c r="H1673" s="46"/>
      <c r="I1673" s="46"/>
      <c r="J1673" s="46"/>
      <c r="K1673" s="46"/>
      <c r="L1673" s="46"/>
      <c r="M1673" s="46" t="str">
        <f aca="false">IF(OR(B1673="",I1673=""),"",IFERROR(INDEX('Comment flow'!$C$40:$C$46,MATCH(I1673,'Comment flow'!$A$40:$A$46,0)),""))</f>
        <v/>
      </c>
      <c r="N1673" s="46" t="str">
        <f aca="false">IF(B1673="","",IF(OR(I1673="",I1673="Open: needs a decision",L1673=""),"Open","Closed"))</f>
        <v/>
      </c>
      <c r="O1673" s="46"/>
      <c r="P1673" s="46" t="str">
        <f aca="false">IF(OR(B1673="",I1673&lt;&gt;"Save for a later revision"),"",IF(COUNTIF('Deferred edits'!$K$2:$K$201,A1673)&gt;0,"Yes","● Add to Deferred edits"))</f>
        <v/>
      </c>
    </row>
    <row r="1674" customFormat="false" ht="15" hidden="false" customHeight="false" outlineLevel="0" collapsed="false">
      <c r="A1674" s="46" t="s">
        <v>1969</v>
      </c>
      <c r="B1674" s="46"/>
      <c r="C1674" s="46"/>
      <c r="D1674" s="46"/>
      <c r="E1674" s="46"/>
      <c r="F1674" s="46"/>
      <c r="G1674" s="46"/>
      <c r="H1674" s="46"/>
      <c r="I1674" s="46"/>
      <c r="J1674" s="46"/>
      <c r="K1674" s="46"/>
      <c r="L1674" s="46"/>
      <c r="M1674" s="46" t="str">
        <f aca="false">IF(OR(B1674="",I1674=""),"",IFERROR(INDEX('Comment flow'!$C$40:$C$46,MATCH(I1674,'Comment flow'!$A$40:$A$46,0)),""))</f>
        <v/>
      </c>
      <c r="N1674" s="46" t="str">
        <f aca="false">IF(B1674="","",IF(OR(I1674="",I1674="Open: needs a decision",L1674=""),"Open","Closed"))</f>
        <v/>
      </c>
      <c r="O1674" s="46"/>
      <c r="P1674" s="46" t="str">
        <f aca="false">IF(OR(B1674="",I1674&lt;&gt;"Save for a later revision"),"",IF(COUNTIF('Deferred edits'!$K$2:$K$201,A1674)&gt;0,"Yes","● Add to Deferred edits"))</f>
        <v/>
      </c>
    </row>
    <row r="1675" customFormat="false" ht="15" hidden="false" customHeight="false" outlineLevel="0" collapsed="false">
      <c r="A1675" s="46" t="s">
        <v>1970</v>
      </c>
      <c r="B1675" s="46"/>
      <c r="C1675" s="46"/>
      <c r="D1675" s="46"/>
      <c r="E1675" s="46"/>
      <c r="F1675" s="46"/>
      <c r="G1675" s="46"/>
      <c r="H1675" s="46"/>
      <c r="I1675" s="46"/>
      <c r="J1675" s="46"/>
      <c r="K1675" s="46"/>
      <c r="L1675" s="46"/>
      <c r="M1675" s="46" t="str">
        <f aca="false">IF(OR(B1675="",I1675=""),"",IFERROR(INDEX('Comment flow'!$C$40:$C$46,MATCH(I1675,'Comment flow'!$A$40:$A$46,0)),""))</f>
        <v/>
      </c>
      <c r="N1675" s="46" t="str">
        <f aca="false">IF(B1675="","",IF(OR(I1675="",I1675="Open: needs a decision",L1675=""),"Open","Closed"))</f>
        <v/>
      </c>
      <c r="O1675" s="46"/>
      <c r="P1675" s="46" t="str">
        <f aca="false">IF(OR(B1675="",I1675&lt;&gt;"Save for a later revision"),"",IF(COUNTIF('Deferred edits'!$K$2:$K$201,A1675)&gt;0,"Yes","● Add to Deferred edits"))</f>
        <v/>
      </c>
    </row>
    <row r="1676" customFormat="false" ht="15" hidden="false" customHeight="false" outlineLevel="0" collapsed="false">
      <c r="A1676" s="46" t="s">
        <v>1971</v>
      </c>
      <c r="B1676" s="46"/>
      <c r="C1676" s="46"/>
      <c r="D1676" s="46"/>
      <c r="E1676" s="46"/>
      <c r="F1676" s="46"/>
      <c r="G1676" s="46"/>
      <c r="H1676" s="46"/>
      <c r="I1676" s="46"/>
      <c r="J1676" s="46"/>
      <c r="K1676" s="46"/>
      <c r="L1676" s="46"/>
      <c r="M1676" s="46" t="str">
        <f aca="false">IF(OR(B1676="",I1676=""),"",IFERROR(INDEX('Comment flow'!$C$40:$C$46,MATCH(I1676,'Comment flow'!$A$40:$A$46,0)),""))</f>
        <v/>
      </c>
      <c r="N1676" s="46" t="str">
        <f aca="false">IF(B1676="","",IF(OR(I1676="",I1676="Open: needs a decision",L1676=""),"Open","Closed"))</f>
        <v/>
      </c>
      <c r="O1676" s="46"/>
      <c r="P1676" s="46" t="str">
        <f aca="false">IF(OR(B1676="",I1676&lt;&gt;"Save for a later revision"),"",IF(COUNTIF('Deferred edits'!$K$2:$K$201,A1676)&gt;0,"Yes","● Add to Deferred edits"))</f>
        <v/>
      </c>
    </row>
    <row r="1677" customFormat="false" ht="15" hidden="false" customHeight="false" outlineLevel="0" collapsed="false">
      <c r="A1677" s="46" t="s">
        <v>1972</v>
      </c>
      <c r="B1677" s="46"/>
      <c r="C1677" s="46"/>
      <c r="D1677" s="46"/>
      <c r="E1677" s="46"/>
      <c r="F1677" s="46"/>
      <c r="G1677" s="46"/>
      <c r="H1677" s="46"/>
      <c r="I1677" s="46"/>
      <c r="J1677" s="46"/>
      <c r="K1677" s="46"/>
      <c r="L1677" s="46"/>
      <c r="M1677" s="46" t="str">
        <f aca="false">IF(OR(B1677="",I1677=""),"",IFERROR(INDEX('Comment flow'!$C$40:$C$46,MATCH(I1677,'Comment flow'!$A$40:$A$46,0)),""))</f>
        <v/>
      </c>
      <c r="N1677" s="46" t="str">
        <f aca="false">IF(B1677="","",IF(OR(I1677="",I1677="Open: needs a decision",L1677=""),"Open","Closed"))</f>
        <v/>
      </c>
      <c r="O1677" s="46"/>
      <c r="P1677" s="46" t="str">
        <f aca="false">IF(OR(B1677="",I1677&lt;&gt;"Save for a later revision"),"",IF(COUNTIF('Deferred edits'!$K$2:$K$201,A1677)&gt;0,"Yes","● Add to Deferred edits"))</f>
        <v/>
      </c>
    </row>
    <row r="1678" customFormat="false" ht="15" hidden="false" customHeight="false" outlineLevel="0" collapsed="false">
      <c r="A1678" s="46" t="s">
        <v>1973</v>
      </c>
      <c r="B1678" s="46"/>
      <c r="C1678" s="46"/>
      <c r="D1678" s="46"/>
      <c r="E1678" s="46"/>
      <c r="F1678" s="46"/>
      <c r="G1678" s="46"/>
      <c r="H1678" s="46"/>
      <c r="I1678" s="46"/>
      <c r="J1678" s="46"/>
      <c r="K1678" s="46"/>
      <c r="L1678" s="46"/>
      <c r="M1678" s="46" t="str">
        <f aca="false">IF(OR(B1678="",I1678=""),"",IFERROR(INDEX('Comment flow'!$C$40:$C$46,MATCH(I1678,'Comment flow'!$A$40:$A$46,0)),""))</f>
        <v/>
      </c>
      <c r="N1678" s="46" t="str">
        <f aca="false">IF(B1678="","",IF(OR(I1678="",I1678="Open: needs a decision",L1678=""),"Open","Closed"))</f>
        <v/>
      </c>
      <c r="O1678" s="46"/>
      <c r="P1678" s="46" t="str">
        <f aca="false">IF(OR(B1678="",I1678&lt;&gt;"Save for a later revision"),"",IF(COUNTIF('Deferred edits'!$K$2:$K$201,A1678)&gt;0,"Yes","● Add to Deferred edits"))</f>
        <v/>
      </c>
    </row>
    <row r="1679" customFormat="false" ht="15" hidden="false" customHeight="false" outlineLevel="0" collapsed="false">
      <c r="A1679" s="46" t="s">
        <v>1974</v>
      </c>
      <c r="B1679" s="46"/>
      <c r="C1679" s="46"/>
      <c r="D1679" s="46"/>
      <c r="E1679" s="46"/>
      <c r="F1679" s="46"/>
      <c r="G1679" s="46"/>
      <c r="H1679" s="46"/>
      <c r="I1679" s="46"/>
      <c r="J1679" s="46"/>
      <c r="K1679" s="46"/>
      <c r="L1679" s="46"/>
      <c r="M1679" s="46" t="str">
        <f aca="false">IF(OR(B1679="",I1679=""),"",IFERROR(INDEX('Comment flow'!$C$40:$C$46,MATCH(I1679,'Comment flow'!$A$40:$A$46,0)),""))</f>
        <v/>
      </c>
      <c r="N1679" s="46" t="str">
        <f aca="false">IF(B1679="","",IF(OR(I1679="",I1679="Open: needs a decision",L1679=""),"Open","Closed"))</f>
        <v/>
      </c>
      <c r="O1679" s="46"/>
      <c r="P1679" s="46" t="str">
        <f aca="false">IF(OR(B1679="",I1679&lt;&gt;"Save for a later revision"),"",IF(COUNTIF('Deferred edits'!$K$2:$K$201,A1679)&gt;0,"Yes","● Add to Deferred edits"))</f>
        <v/>
      </c>
    </row>
    <row r="1680" customFormat="false" ht="15" hidden="false" customHeight="false" outlineLevel="0" collapsed="false">
      <c r="A1680" s="46" t="s">
        <v>1975</v>
      </c>
      <c r="B1680" s="46"/>
      <c r="C1680" s="46"/>
      <c r="D1680" s="46"/>
      <c r="E1680" s="46"/>
      <c r="F1680" s="46"/>
      <c r="G1680" s="46"/>
      <c r="H1680" s="46"/>
      <c r="I1680" s="46"/>
      <c r="J1680" s="46"/>
      <c r="K1680" s="46"/>
      <c r="L1680" s="46"/>
      <c r="M1680" s="46" t="str">
        <f aca="false">IF(OR(B1680="",I1680=""),"",IFERROR(INDEX('Comment flow'!$C$40:$C$46,MATCH(I1680,'Comment flow'!$A$40:$A$46,0)),""))</f>
        <v/>
      </c>
      <c r="N1680" s="46" t="str">
        <f aca="false">IF(B1680="","",IF(OR(I1680="",I1680="Open: needs a decision",L1680=""),"Open","Closed"))</f>
        <v/>
      </c>
      <c r="O1680" s="46"/>
      <c r="P1680" s="46" t="str">
        <f aca="false">IF(OR(B1680="",I1680&lt;&gt;"Save for a later revision"),"",IF(COUNTIF('Deferred edits'!$K$2:$K$201,A1680)&gt;0,"Yes","● Add to Deferred edits"))</f>
        <v/>
      </c>
    </row>
    <row r="1681" customFormat="false" ht="15" hidden="false" customHeight="false" outlineLevel="0" collapsed="false">
      <c r="A1681" s="46" t="s">
        <v>1976</v>
      </c>
      <c r="B1681" s="46"/>
      <c r="C1681" s="46"/>
      <c r="D1681" s="46"/>
      <c r="E1681" s="46"/>
      <c r="F1681" s="46"/>
      <c r="G1681" s="46"/>
      <c r="H1681" s="46"/>
      <c r="I1681" s="46"/>
      <c r="J1681" s="46"/>
      <c r="K1681" s="46"/>
      <c r="L1681" s="46"/>
      <c r="M1681" s="46" t="str">
        <f aca="false">IF(OR(B1681="",I1681=""),"",IFERROR(INDEX('Comment flow'!$C$40:$C$46,MATCH(I1681,'Comment flow'!$A$40:$A$46,0)),""))</f>
        <v/>
      </c>
      <c r="N1681" s="46" t="str">
        <f aca="false">IF(B1681="","",IF(OR(I1681="",I1681="Open: needs a decision",L1681=""),"Open","Closed"))</f>
        <v/>
      </c>
      <c r="O1681" s="46"/>
      <c r="P1681" s="46" t="str">
        <f aca="false">IF(OR(B1681="",I1681&lt;&gt;"Save for a later revision"),"",IF(COUNTIF('Deferred edits'!$K$2:$K$201,A1681)&gt;0,"Yes","● Add to Deferred edits"))</f>
        <v/>
      </c>
    </row>
    <row r="1682" customFormat="false" ht="15" hidden="false" customHeight="false" outlineLevel="0" collapsed="false">
      <c r="A1682" s="46" t="s">
        <v>1977</v>
      </c>
      <c r="B1682" s="46"/>
      <c r="C1682" s="46"/>
      <c r="D1682" s="46"/>
      <c r="E1682" s="46"/>
      <c r="F1682" s="46"/>
      <c r="G1682" s="46"/>
      <c r="H1682" s="46"/>
      <c r="I1682" s="46"/>
      <c r="J1682" s="46"/>
      <c r="K1682" s="46"/>
      <c r="L1682" s="46"/>
      <c r="M1682" s="46" t="str">
        <f aca="false">IF(OR(B1682="",I1682=""),"",IFERROR(INDEX('Comment flow'!$C$40:$C$46,MATCH(I1682,'Comment flow'!$A$40:$A$46,0)),""))</f>
        <v/>
      </c>
      <c r="N1682" s="46" t="str">
        <f aca="false">IF(B1682="","",IF(OR(I1682="",I1682="Open: needs a decision",L1682=""),"Open","Closed"))</f>
        <v/>
      </c>
      <c r="O1682" s="46"/>
      <c r="P1682" s="46" t="str">
        <f aca="false">IF(OR(B1682="",I1682&lt;&gt;"Save for a later revision"),"",IF(COUNTIF('Deferred edits'!$K$2:$K$201,A1682)&gt;0,"Yes","● Add to Deferred edits"))</f>
        <v/>
      </c>
    </row>
    <row r="1683" customFormat="false" ht="15" hidden="false" customHeight="false" outlineLevel="0" collapsed="false">
      <c r="A1683" s="46" t="s">
        <v>1978</v>
      </c>
      <c r="B1683" s="46"/>
      <c r="C1683" s="46"/>
      <c r="D1683" s="46"/>
      <c r="E1683" s="46"/>
      <c r="F1683" s="46"/>
      <c r="G1683" s="46"/>
      <c r="H1683" s="46"/>
      <c r="I1683" s="46"/>
      <c r="J1683" s="46"/>
      <c r="K1683" s="46"/>
      <c r="L1683" s="46"/>
      <c r="M1683" s="46" t="str">
        <f aca="false">IF(OR(B1683="",I1683=""),"",IFERROR(INDEX('Comment flow'!$C$40:$C$46,MATCH(I1683,'Comment flow'!$A$40:$A$46,0)),""))</f>
        <v/>
      </c>
      <c r="N1683" s="46" t="str">
        <f aca="false">IF(B1683="","",IF(OR(I1683="",I1683="Open: needs a decision",L1683=""),"Open","Closed"))</f>
        <v/>
      </c>
      <c r="O1683" s="46"/>
      <c r="P1683" s="46" t="str">
        <f aca="false">IF(OR(B1683="",I1683&lt;&gt;"Save for a later revision"),"",IF(COUNTIF('Deferred edits'!$K$2:$K$201,A1683)&gt;0,"Yes","● Add to Deferred edits"))</f>
        <v/>
      </c>
    </row>
    <row r="1684" customFormat="false" ht="15" hidden="false" customHeight="false" outlineLevel="0" collapsed="false">
      <c r="A1684" s="46" t="s">
        <v>1979</v>
      </c>
      <c r="B1684" s="46"/>
      <c r="C1684" s="46"/>
      <c r="D1684" s="46"/>
      <c r="E1684" s="46"/>
      <c r="F1684" s="46"/>
      <c r="G1684" s="46"/>
      <c r="H1684" s="46"/>
      <c r="I1684" s="46"/>
      <c r="J1684" s="46"/>
      <c r="K1684" s="46"/>
      <c r="L1684" s="46"/>
      <c r="M1684" s="46" t="str">
        <f aca="false">IF(OR(B1684="",I1684=""),"",IFERROR(INDEX('Comment flow'!$C$40:$C$46,MATCH(I1684,'Comment flow'!$A$40:$A$46,0)),""))</f>
        <v/>
      </c>
      <c r="N1684" s="46" t="str">
        <f aca="false">IF(B1684="","",IF(OR(I1684="",I1684="Open: needs a decision",L1684=""),"Open","Closed"))</f>
        <v/>
      </c>
      <c r="O1684" s="46"/>
      <c r="P1684" s="46" t="str">
        <f aca="false">IF(OR(B1684="",I1684&lt;&gt;"Save for a later revision"),"",IF(COUNTIF('Deferred edits'!$K$2:$K$201,A1684)&gt;0,"Yes","● Add to Deferred edits"))</f>
        <v/>
      </c>
    </row>
    <row r="1685" customFormat="false" ht="15" hidden="false" customHeight="false" outlineLevel="0" collapsed="false">
      <c r="A1685" s="46" t="s">
        <v>1980</v>
      </c>
      <c r="B1685" s="46"/>
      <c r="C1685" s="46"/>
      <c r="D1685" s="46"/>
      <c r="E1685" s="46"/>
      <c r="F1685" s="46"/>
      <c r="G1685" s="46"/>
      <c r="H1685" s="46"/>
      <c r="I1685" s="46"/>
      <c r="J1685" s="46"/>
      <c r="K1685" s="46"/>
      <c r="L1685" s="46"/>
      <c r="M1685" s="46" t="str">
        <f aca="false">IF(OR(B1685="",I1685=""),"",IFERROR(INDEX('Comment flow'!$C$40:$C$46,MATCH(I1685,'Comment flow'!$A$40:$A$46,0)),""))</f>
        <v/>
      </c>
      <c r="N1685" s="46" t="str">
        <f aca="false">IF(B1685="","",IF(OR(I1685="",I1685="Open: needs a decision",L1685=""),"Open","Closed"))</f>
        <v/>
      </c>
      <c r="O1685" s="46"/>
      <c r="P1685" s="46" t="str">
        <f aca="false">IF(OR(B1685="",I1685&lt;&gt;"Save for a later revision"),"",IF(COUNTIF('Deferred edits'!$K$2:$K$201,A1685)&gt;0,"Yes","● Add to Deferred edits"))</f>
        <v/>
      </c>
    </row>
    <row r="1686" customFormat="false" ht="15" hidden="false" customHeight="false" outlineLevel="0" collapsed="false">
      <c r="A1686" s="46" t="s">
        <v>1981</v>
      </c>
      <c r="B1686" s="46"/>
      <c r="C1686" s="46"/>
      <c r="D1686" s="46"/>
      <c r="E1686" s="46"/>
      <c r="F1686" s="46"/>
      <c r="G1686" s="46"/>
      <c r="H1686" s="46"/>
      <c r="I1686" s="46"/>
      <c r="J1686" s="46"/>
      <c r="K1686" s="46"/>
      <c r="L1686" s="46"/>
      <c r="M1686" s="46" t="str">
        <f aca="false">IF(OR(B1686="",I1686=""),"",IFERROR(INDEX('Comment flow'!$C$40:$C$46,MATCH(I1686,'Comment flow'!$A$40:$A$46,0)),""))</f>
        <v/>
      </c>
      <c r="N1686" s="46" t="str">
        <f aca="false">IF(B1686="","",IF(OR(I1686="",I1686="Open: needs a decision",L1686=""),"Open","Closed"))</f>
        <v/>
      </c>
      <c r="O1686" s="46"/>
      <c r="P1686" s="46" t="str">
        <f aca="false">IF(OR(B1686="",I1686&lt;&gt;"Save for a later revision"),"",IF(COUNTIF('Deferred edits'!$K$2:$K$201,A1686)&gt;0,"Yes","● Add to Deferred edits"))</f>
        <v/>
      </c>
    </row>
    <row r="1687" customFormat="false" ht="15" hidden="false" customHeight="false" outlineLevel="0" collapsed="false">
      <c r="A1687" s="46" t="s">
        <v>1982</v>
      </c>
      <c r="B1687" s="46"/>
      <c r="C1687" s="46"/>
      <c r="D1687" s="46"/>
      <c r="E1687" s="46"/>
      <c r="F1687" s="46"/>
      <c r="G1687" s="46"/>
      <c r="H1687" s="46"/>
      <c r="I1687" s="46"/>
      <c r="J1687" s="46"/>
      <c r="K1687" s="46"/>
      <c r="L1687" s="46"/>
      <c r="M1687" s="46" t="str">
        <f aca="false">IF(OR(B1687="",I1687=""),"",IFERROR(INDEX('Comment flow'!$C$40:$C$46,MATCH(I1687,'Comment flow'!$A$40:$A$46,0)),""))</f>
        <v/>
      </c>
      <c r="N1687" s="46" t="str">
        <f aca="false">IF(B1687="","",IF(OR(I1687="",I1687="Open: needs a decision",L1687=""),"Open","Closed"))</f>
        <v/>
      </c>
      <c r="O1687" s="46"/>
      <c r="P1687" s="46" t="str">
        <f aca="false">IF(OR(B1687="",I1687&lt;&gt;"Save for a later revision"),"",IF(COUNTIF('Deferred edits'!$K$2:$K$201,A1687)&gt;0,"Yes","● Add to Deferred edits"))</f>
        <v/>
      </c>
    </row>
    <row r="1688" customFormat="false" ht="15" hidden="false" customHeight="false" outlineLevel="0" collapsed="false">
      <c r="A1688" s="46" t="s">
        <v>1983</v>
      </c>
      <c r="B1688" s="46"/>
      <c r="C1688" s="46"/>
      <c r="D1688" s="46"/>
      <c r="E1688" s="46"/>
      <c r="F1688" s="46"/>
      <c r="G1688" s="46"/>
      <c r="H1688" s="46"/>
      <c r="I1688" s="46"/>
      <c r="J1688" s="46"/>
      <c r="K1688" s="46"/>
      <c r="L1688" s="46"/>
      <c r="M1688" s="46" t="str">
        <f aca="false">IF(OR(B1688="",I1688=""),"",IFERROR(INDEX('Comment flow'!$C$40:$C$46,MATCH(I1688,'Comment flow'!$A$40:$A$46,0)),""))</f>
        <v/>
      </c>
      <c r="N1688" s="46" t="str">
        <f aca="false">IF(B1688="","",IF(OR(I1688="",I1688="Open: needs a decision",L1688=""),"Open","Closed"))</f>
        <v/>
      </c>
      <c r="O1688" s="46"/>
      <c r="P1688" s="46" t="str">
        <f aca="false">IF(OR(B1688="",I1688&lt;&gt;"Save for a later revision"),"",IF(COUNTIF('Deferred edits'!$K$2:$K$201,A1688)&gt;0,"Yes","● Add to Deferred edits"))</f>
        <v/>
      </c>
    </row>
    <row r="1689" customFormat="false" ht="15" hidden="false" customHeight="false" outlineLevel="0" collapsed="false">
      <c r="A1689" s="46" t="s">
        <v>1984</v>
      </c>
      <c r="B1689" s="46"/>
      <c r="C1689" s="46"/>
      <c r="D1689" s="46"/>
      <c r="E1689" s="46"/>
      <c r="F1689" s="46"/>
      <c r="G1689" s="46"/>
      <c r="H1689" s="46"/>
      <c r="I1689" s="46"/>
      <c r="J1689" s="46"/>
      <c r="K1689" s="46"/>
      <c r="L1689" s="46"/>
      <c r="M1689" s="46" t="str">
        <f aca="false">IF(OR(B1689="",I1689=""),"",IFERROR(INDEX('Comment flow'!$C$40:$C$46,MATCH(I1689,'Comment flow'!$A$40:$A$46,0)),""))</f>
        <v/>
      </c>
      <c r="N1689" s="46" t="str">
        <f aca="false">IF(B1689="","",IF(OR(I1689="",I1689="Open: needs a decision",L1689=""),"Open","Closed"))</f>
        <v/>
      </c>
      <c r="O1689" s="46"/>
      <c r="P1689" s="46" t="str">
        <f aca="false">IF(OR(B1689="",I1689&lt;&gt;"Save for a later revision"),"",IF(COUNTIF('Deferred edits'!$K$2:$K$201,A1689)&gt;0,"Yes","● Add to Deferred edits"))</f>
        <v/>
      </c>
    </row>
    <row r="1690" customFormat="false" ht="15" hidden="false" customHeight="false" outlineLevel="0" collapsed="false">
      <c r="A1690" s="46" t="s">
        <v>1985</v>
      </c>
      <c r="B1690" s="46"/>
      <c r="C1690" s="46"/>
      <c r="D1690" s="46"/>
      <c r="E1690" s="46"/>
      <c r="F1690" s="46"/>
      <c r="G1690" s="46"/>
      <c r="H1690" s="46"/>
      <c r="I1690" s="46"/>
      <c r="J1690" s="46"/>
      <c r="K1690" s="46"/>
      <c r="L1690" s="46"/>
      <c r="M1690" s="46" t="str">
        <f aca="false">IF(OR(B1690="",I1690=""),"",IFERROR(INDEX('Comment flow'!$C$40:$C$46,MATCH(I1690,'Comment flow'!$A$40:$A$46,0)),""))</f>
        <v/>
      </c>
      <c r="N1690" s="46" t="str">
        <f aca="false">IF(B1690="","",IF(OR(I1690="",I1690="Open: needs a decision",L1690=""),"Open","Closed"))</f>
        <v/>
      </c>
      <c r="O1690" s="46"/>
      <c r="P1690" s="46" t="str">
        <f aca="false">IF(OR(B1690="",I1690&lt;&gt;"Save for a later revision"),"",IF(COUNTIF('Deferred edits'!$K$2:$K$201,A1690)&gt;0,"Yes","● Add to Deferred edits"))</f>
        <v/>
      </c>
    </row>
    <row r="1691" customFormat="false" ht="15" hidden="false" customHeight="false" outlineLevel="0" collapsed="false">
      <c r="A1691" s="46" t="s">
        <v>1986</v>
      </c>
      <c r="B1691" s="46"/>
      <c r="C1691" s="46"/>
      <c r="D1691" s="46"/>
      <c r="E1691" s="46"/>
      <c r="F1691" s="46"/>
      <c r="G1691" s="46"/>
      <c r="H1691" s="46"/>
      <c r="I1691" s="46"/>
      <c r="J1691" s="46"/>
      <c r="K1691" s="46"/>
      <c r="L1691" s="46"/>
      <c r="M1691" s="46" t="str">
        <f aca="false">IF(OR(B1691="",I1691=""),"",IFERROR(INDEX('Comment flow'!$C$40:$C$46,MATCH(I1691,'Comment flow'!$A$40:$A$46,0)),""))</f>
        <v/>
      </c>
      <c r="N1691" s="46" t="str">
        <f aca="false">IF(B1691="","",IF(OR(I1691="",I1691="Open: needs a decision",L1691=""),"Open","Closed"))</f>
        <v/>
      </c>
      <c r="O1691" s="46"/>
      <c r="P1691" s="46" t="str">
        <f aca="false">IF(OR(B1691="",I1691&lt;&gt;"Save for a later revision"),"",IF(COUNTIF('Deferred edits'!$K$2:$K$201,A1691)&gt;0,"Yes","● Add to Deferred edits"))</f>
        <v/>
      </c>
    </row>
    <row r="1692" customFormat="false" ht="15" hidden="false" customHeight="false" outlineLevel="0" collapsed="false">
      <c r="A1692" s="46" t="s">
        <v>1987</v>
      </c>
      <c r="B1692" s="46"/>
      <c r="C1692" s="46"/>
      <c r="D1692" s="46"/>
      <c r="E1692" s="46"/>
      <c r="F1692" s="46"/>
      <c r="G1692" s="46"/>
      <c r="H1692" s="46"/>
      <c r="I1692" s="46"/>
      <c r="J1692" s="46"/>
      <c r="K1692" s="46"/>
      <c r="L1692" s="46"/>
      <c r="M1692" s="46" t="str">
        <f aca="false">IF(OR(B1692="",I1692=""),"",IFERROR(INDEX('Comment flow'!$C$40:$C$46,MATCH(I1692,'Comment flow'!$A$40:$A$46,0)),""))</f>
        <v/>
      </c>
      <c r="N1692" s="46" t="str">
        <f aca="false">IF(B1692="","",IF(OR(I1692="",I1692="Open: needs a decision",L1692=""),"Open","Closed"))</f>
        <v/>
      </c>
      <c r="O1692" s="46"/>
      <c r="P1692" s="46" t="str">
        <f aca="false">IF(OR(B1692="",I1692&lt;&gt;"Save for a later revision"),"",IF(COUNTIF('Deferred edits'!$K$2:$K$201,A1692)&gt;0,"Yes","● Add to Deferred edits"))</f>
        <v/>
      </c>
    </row>
    <row r="1693" customFormat="false" ht="15" hidden="false" customHeight="false" outlineLevel="0" collapsed="false">
      <c r="A1693" s="46" t="s">
        <v>1988</v>
      </c>
      <c r="B1693" s="46"/>
      <c r="C1693" s="46"/>
      <c r="D1693" s="46"/>
      <c r="E1693" s="46"/>
      <c r="F1693" s="46"/>
      <c r="G1693" s="46"/>
      <c r="H1693" s="46"/>
      <c r="I1693" s="46"/>
      <c r="J1693" s="46"/>
      <c r="K1693" s="46"/>
      <c r="L1693" s="46"/>
      <c r="M1693" s="46" t="str">
        <f aca="false">IF(OR(B1693="",I1693=""),"",IFERROR(INDEX('Comment flow'!$C$40:$C$46,MATCH(I1693,'Comment flow'!$A$40:$A$46,0)),""))</f>
        <v/>
      </c>
      <c r="N1693" s="46" t="str">
        <f aca="false">IF(B1693="","",IF(OR(I1693="",I1693="Open: needs a decision",L1693=""),"Open","Closed"))</f>
        <v/>
      </c>
      <c r="O1693" s="46"/>
      <c r="P1693" s="46" t="str">
        <f aca="false">IF(OR(B1693="",I1693&lt;&gt;"Save for a later revision"),"",IF(COUNTIF('Deferred edits'!$K$2:$K$201,A1693)&gt;0,"Yes","● Add to Deferred edits"))</f>
        <v/>
      </c>
    </row>
    <row r="1694" customFormat="false" ht="15" hidden="false" customHeight="false" outlineLevel="0" collapsed="false">
      <c r="A1694" s="46" t="s">
        <v>1989</v>
      </c>
      <c r="B1694" s="46"/>
      <c r="C1694" s="46"/>
      <c r="D1694" s="46"/>
      <c r="E1694" s="46"/>
      <c r="F1694" s="46"/>
      <c r="G1694" s="46"/>
      <c r="H1694" s="46"/>
      <c r="I1694" s="46"/>
      <c r="J1694" s="46"/>
      <c r="K1694" s="46"/>
      <c r="L1694" s="46"/>
      <c r="M1694" s="46" t="str">
        <f aca="false">IF(OR(B1694="",I1694=""),"",IFERROR(INDEX('Comment flow'!$C$40:$C$46,MATCH(I1694,'Comment flow'!$A$40:$A$46,0)),""))</f>
        <v/>
      </c>
      <c r="N1694" s="46" t="str">
        <f aca="false">IF(B1694="","",IF(OR(I1694="",I1694="Open: needs a decision",L1694=""),"Open","Closed"))</f>
        <v/>
      </c>
      <c r="O1694" s="46"/>
      <c r="P1694" s="46" t="str">
        <f aca="false">IF(OR(B1694="",I1694&lt;&gt;"Save for a later revision"),"",IF(COUNTIF('Deferred edits'!$K$2:$K$201,A1694)&gt;0,"Yes","● Add to Deferred edits"))</f>
        <v/>
      </c>
    </row>
    <row r="1695" customFormat="false" ht="15" hidden="false" customHeight="false" outlineLevel="0" collapsed="false">
      <c r="A1695" s="46" t="s">
        <v>1990</v>
      </c>
      <c r="B1695" s="46"/>
      <c r="C1695" s="46"/>
      <c r="D1695" s="46"/>
      <c r="E1695" s="46"/>
      <c r="F1695" s="46"/>
      <c r="G1695" s="46"/>
      <c r="H1695" s="46"/>
      <c r="I1695" s="46"/>
      <c r="J1695" s="46"/>
      <c r="K1695" s="46"/>
      <c r="L1695" s="46"/>
      <c r="M1695" s="46" t="str">
        <f aca="false">IF(OR(B1695="",I1695=""),"",IFERROR(INDEX('Comment flow'!$C$40:$C$46,MATCH(I1695,'Comment flow'!$A$40:$A$46,0)),""))</f>
        <v/>
      </c>
      <c r="N1695" s="46" t="str">
        <f aca="false">IF(B1695="","",IF(OR(I1695="",I1695="Open: needs a decision",L1695=""),"Open","Closed"))</f>
        <v/>
      </c>
      <c r="O1695" s="46"/>
      <c r="P1695" s="46" t="str">
        <f aca="false">IF(OR(B1695="",I1695&lt;&gt;"Save for a later revision"),"",IF(COUNTIF('Deferred edits'!$K$2:$K$201,A1695)&gt;0,"Yes","● Add to Deferred edits"))</f>
        <v/>
      </c>
    </row>
    <row r="1696" customFormat="false" ht="15" hidden="false" customHeight="false" outlineLevel="0" collapsed="false">
      <c r="A1696" s="46" t="s">
        <v>1991</v>
      </c>
      <c r="B1696" s="46"/>
      <c r="C1696" s="46"/>
      <c r="D1696" s="46"/>
      <c r="E1696" s="46"/>
      <c r="F1696" s="46"/>
      <c r="G1696" s="46"/>
      <c r="H1696" s="46"/>
      <c r="I1696" s="46"/>
      <c r="J1696" s="46"/>
      <c r="K1696" s="46"/>
      <c r="L1696" s="46"/>
      <c r="M1696" s="46" t="str">
        <f aca="false">IF(OR(B1696="",I1696=""),"",IFERROR(INDEX('Comment flow'!$C$40:$C$46,MATCH(I1696,'Comment flow'!$A$40:$A$46,0)),""))</f>
        <v/>
      </c>
      <c r="N1696" s="46" t="str">
        <f aca="false">IF(B1696="","",IF(OR(I1696="",I1696="Open: needs a decision",L1696=""),"Open","Closed"))</f>
        <v/>
      </c>
      <c r="O1696" s="46"/>
      <c r="P1696" s="46" t="str">
        <f aca="false">IF(OR(B1696="",I1696&lt;&gt;"Save for a later revision"),"",IF(COUNTIF('Deferred edits'!$K$2:$K$201,A1696)&gt;0,"Yes","● Add to Deferred edits"))</f>
        <v/>
      </c>
    </row>
    <row r="1697" customFormat="false" ht="15" hidden="false" customHeight="false" outlineLevel="0" collapsed="false">
      <c r="A1697" s="46" t="s">
        <v>1992</v>
      </c>
      <c r="B1697" s="46"/>
      <c r="C1697" s="46"/>
      <c r="D1697" s="46"/>
      <c r="E1697" s="46"/>
      <c r="F1697" s="46"/>
      <c r="G1697" s="46"/>
      <c r="H1697" s="46"/>
      <c r="I1697" s="46"/>
      <c r="J1697" s="46"/>
      <c r="K1697" s="46"/>
      <c r="L1697" s="46"/>
      <c r="M1697" s="46" t="str">
        <f aca="false">IF(OR(B1697="",I1697=""),"",IFERROR(INDEX('Comment flow'!$C$40:$C$46,MATCH(I1697,'Comment flow'!$A$40:$A$46,0)),""))</f>
        <v/>
      </c>
      <c r="N1697" s="46" t="str">
        <f aca="false">IF(B1697="","",IF(OR(I1697="",I1697="Open: needs a decision",L1697=""),"Open","Closed"))</f>
        <v/>
      </c>
      <c r="O1697" s="46"/>
      <c r="P1697" s="46" t="str">
        <f aca="false">IF(OR(B1697="",I1697&lt;&gt;"Save for a later revision"),"",IF(COUNTIF('Deferred edits'!$K$2:$K$201,A1697)&gt;0,"Yes","● Add to Deferred edits"))</f>
        <v/>
      </c>
    </row>
    <row r="1698" customFormat="false" ht="15" hidden="false" customHeight="false" outlineLevel="0" collapsed="false">
      <c r="A1698" s="46" t="s">
        <v>1993</v>
      </c>
      <c r="B1698" s="46"/>
      <c r="C1698" s="46"/>
      <c r="D1698" s="46"/>
      <c r="E1698" s="46"/>
      <c r="F1698" s="46"/>
      <c r="G1698" s="46"/>
      <c r="H1698" s="46"/>
      <c r="I1698" s="46"/>
      <c r="J1698" s="46"/>
      <c r="K1698" s="46"/>
      <c r="L1698" s="46"/>
      <c r="M1698" s="46" t="str">
        <f aca="false">IF(OR(B1698="",I1698=""),"",IFERROR(INDEX('Comment flow'!$C$40:$C$46,MATCH(I1698,'Comment flow'!$A$40:$A$46,0)),""))</f>
        <v/>
      </c>
      <c r="N1698" s="46" t="str">
        <f aca="false">IF(B1698="","",IF(OR(I1698="",I1698="Open: needs a decision",L1698=""),"Open","Closed"))</f>
        <v/>
      </c>
      <c r="O1698" s="46"/>
      <c r="P1698" s="46" t="str">
        <f aca="false">IF(OR(B1698="",I1698&lt;&gt;"Save for a later revision"),"",IF(COUNTIF('Deferred edits'!$K$2:$K$201,A1698)&gt;0,"Yes","● Add to Deferred edits"))</f>
        <v/>
      </c>
    </row>
    <row r="1699" customFormat="false" ht="15" hidden="false" customHeight="false" outlineLevel="0" collapsed="false">
      <c r="A1699" s="46" t="s">
        <v>1994</v>
      </c>
      <c r="B1699" s="46"/>
      <c r="C1699" s="46"/>
      <c r="D1699" s="46"/>
      <c r="E1699" s="46"/>
      <c r="F1699" s="46"/>
      <c r="G1699" s="46"/>
      <c r="H1699" s="46"/>
      <c r="I1699" s="46"/>
      <c r="J1699" s="46"/>
      <c r="K1699" s="46"/>
      <c r="L1699" s="46"/>
      <c r="M1699" s="46" t="str">
        <f aca="false">IF(OR(B1699="",I1699=""),"",IFERROR(INDEX('Comment flow'!$C$40:$C$46,MATCH(I1699,'Comment flow'!$A$40:$A$46,0)),""))</f>
        <v/>
      </c>
      <c r="N1699" s="46" t="str">
        <f aca="false">IF(B1699="","",IF(OR(I1699="",I1699="Open: needs a decision",L1699=""),"Open","Closed"))</f>
        <v/>
      </c>
      <c r="O1699" s="46"/>
      <c r="P1699" s="46" t="str">
        <f aca="false">IF(OR(B1699="",I1699&lt;&gt;"Save for a later revision"),"",IF(COUNTIF('Deferred edits'!$K$2:$K$201,A1699)&gt;0,"Yes","● Add to Deferred edits"))</f>
        <v/>
      </c>
    </row>
    <row r="1700" customFormat="false" ht="15" hidden="false" customHeight="false" outlineLevel="0" collapsed="false">
      <c r="A1700" s="46" t="s">
        <v>1995</v>
      </c>
      <c r="B1700" s="46"/>
      <c r="C1700" s="46"/>
      <c r="D1700" s="46"/>
      <c r="E1700" s="46"/>
      <c r="F1700" s="46"/>
      <c r="G1700" s="46"/>
      <c r="H1700" s="46"/>
      <c r="I1700" s="46"/>
      <c r="J1700" s="46"/>
      <c r="K1700" s="46"/>
      <c r="L1700" s="46"/>
      <c r="M1700" s="46" t="str">
        <f aca="false">IF(OR(B1700="",I1700=""),"",IFERROR(INDEX('Comment flow'!$C$40:$C$46,MATCH(I1700,'Comment flow'!$A$40:$A$46,0)),""))</f>
        <v/>
      </c>
      <c r="N1700" s="46" t="str">
        <f aca="false">IF(B1700="","",IF(OR(I1700="",I1700="Open: needs a decision",L1700=""),"Open","Closed"))</f>
        <v/>
      </c>
      <c r="O1700" s="46"/>
      <c r="P1700" s="46" t="str">
        <f aca="false">IF(OR(B1700="",I1700&lt;&gt;"Save for a later revision"),"",IF(COUNTIF('Deferred edits'!$K$2:$K$201,A1700)&gt;0,"Yes","● Add to Deferred edits"))</f>
        <v/>
      </c>
    </row>
    <row r="1701" customFormat="false" ht="15" hidden="false" customHeight="false" outlineLevel="0" collapsed="false">
      <c r="A1701" s="46" t="s">
        <v>1996</v>
      </c>
      <c r="B1701" s="46"/>
      <c r="C1701" s="46"/>
      <c r="D1701" s="46"/>
      <c r="E1701" s="46"/>
      <c r="F1701" s="46"/>
      <c r="G1701" s="46"/>
      <c r="H1701" s="46"/>
      <c r="I1701" s="46"/>
      <c r="J1701" s="46"/>
      <c r="K1701" s="46"/>
      <c r="L1701" s="46"/>
      <c r="M1701" s="46" t="str">
        <f aca="false">IF(OR(B1701="",I1701=""),"",IFERROR(INDEX('Comment flow'!$C$40:$C$46,MATCH(I1701,'Comment flow'!$A$40:$A$46,0)),""))</f>
        <v/>
      </c>
      <c r="N1701" s="46" t="str">
        <f aca="false">IF(B1701="","",IF(OR(I1701="",I1701="Open: needs a decision",L1701=""),"Open","Closed"))</f>
        <v/>
      </c>
      <c r="O1701" s="46"/>
      <c r="P1701" s="46" t="str">
        <f aca="false">IF(OR(B1701="",I1701&lt;&gt;"Save for a later revision"),"",IF(COUNTIF('Deferred edits'!$K$2:$K$201,A1701)&gt;0,"Yes","● Add to Deferred edits"))</f>
        <v/>
      </c>
    </row>
    <row r="1702" customFormat="false" ht="15" hidden="false" customHeight="false" outlineLevel="0" collapsed="false">
      <c r="A1702" s="46" t="s">
        <v>1997</v>
      </c>
      <c r="B1702" s="46"/>
      <c r="C1702" s="46"/>
      <c r="D1702" s="46"/>
      <c r="E1702" s="46"/>
      <c r="F1702" s="46"/>
      <c r="G1702" s="46"/>
      <c r="H1702" s="46"/>
      <c r="I1702" s="46"/>
      <c r="J1702" s="46"/>
      <c r="K1702" s="46"/>
      <c r="L1702" s="46"/>
      <c r="M1702" s="46" t="str">
        <f aca="false">IF(OR(B1702="",I1702=""),"",IFERROR(INDEX('Comment flow'!$C$40:$C$46,MATCH(I1702,'Comment flow'!$A$40:$A$46,0)),""))</f>
        <v/>
      </c>
      <c r="N1702" s="46" t="str">
        <f aca="false">IF(B1702="","",IF(OR(I1702="",I1702="Open: needs a decision",L1702=""),"Open","Closed"))</f>
        <v/>
      </c>
      <c r="O1702" s="46"/>
      <c r="P1702" s="46" t="str">
        <f aca="false">IF(OR(B1702="",I1702&lt;&gt;"Save for a later revision"),"",IF(COUNTIF('Deferred edits'!$K$2:$K$201,A1702)&gt;0,"Yes","● Add to Deferred edits"))</f>
        <v/>
      </c>
    </row>
    <row r="1703" customFormat="false" ht="15" hidden="false" customHeight="false" outlineLevel="0" collapsed="false">
      <c r="A1703" s="46" t="s">
        <v>1998</v>
      </c>
      <c r="B1703" s="46"/>
      <c r="C1703" s="46"/>
      <c r="D1703" s="46"/>
      <c r="E1703" s="46"/>
      <c r="F1703" s="46"/>
      <c r="G1703" s="46"/>
      <c r="H1703" s="46"/>
      <c r="I1703" s="46"/>
      <c r="J1703" s="46"/>
      <c r="K1703" s="46"/>
      <c r="L1703" s="46"/>
      <c r="M1703" s="46" t="str">
        <f aca="false">IF(OR(B1703="",I1703=""),"",IFERROR(INDEX('Comment flow'!$C$40:$C$46,MATCH(I1703,'Comment flow'!$A$40:$A$46,0)),""))</f>
        <v/>
      </c>
      <c r="N1703" s="46" t="str">
        <f aca="false">IF(B1703="","",IF(OR(I1703="",I1703="Open: needs a decision",L1703=""),"Open","Closed"))</f>
        <v/>
      </c>
      <c r="O1703" s="46"/>
      <c r="P1703" s="46" t="str">
        <f aca="false">IF(OR(B1703="",I1703&lt;&gt;"Save for a later revision"),"",IF(COUNTIF('Deferred edits'!$K$2:$K$201,A1703)&gt;0,"Yes","● Add to Deferred edits"))</f>
        <v/>
      </c>
    </row>
    <row r="1704" customFormat="false" ht="15" hidden="false" customHeight="false" outlineLevel="0" collapsed="false">
      <c r="A1704" s="46" t="s">
        <v>1999</v>
      </c>
      <c r="B1704" s="46"/>
      <c r="C1704" s="46"/>
      <c r="D1704" s="46"/>
      <c r="E1704" s="46"/>
      <c r="F1704" s="46"/>
      <c r="G1704" s="46"/>
      <c r="H1704" s="46"/>
      <c r="I1704" s="46"/>
      <c r="J1704" s="46"/>
      <c r="K1704" s="46"/>
      <c r="L1704" s="46"/>
      <c r="M1704" s="46" t="str">
        <f aca="false">IF(OR(B1704="",I1704=""),"",IFERROR(INDEX('Comment flow'!$C$40:$C$46,MATCH(I1704,'Comment flow'!$A$40:$A$46,0)),""))</f>
        <v/>
      </c>
      <c r="N1704" s="46" t="str">
        <f aca="false">IF(B1704="","",IF(OR(I1704="",I1704="Open: needs a decision",L1704=""),"Open","Closed"))</f>
        <v/>
      </c>
      <c r="O1704" s="46"/>
      <c r="P1704" s="46" t="str">
        <f aca="false">IF(OR(B1704="",I1704&lt;&gt;"Save for a later revision"),"",IF(COUNTIF('Deferred edits'!$K$2:$K$201,A1704)&gt;0,"Yes","● Add to Deferred edits"))</f>
        <v/>
      </c>
    </row>
    <row r="1705" customFormat="false" ht="15" hidden="false" customHeight="false" outlineLevel="0" collapsed="false">
      <c r="A1705" s="46" t="s">
        <v>2000</v>
      </c>
      <c r="B1705" s="46"/>
      <c r="C1705" s="46"/>
      <c r="D1705" s="46"/>
      <c r="E1705" s="46"/>
      <c r="F1705" s="46"/>
      <c r="G1705" s="46"/>
      <c r="H1705" s="46"/>
      <c r="I1705" s="46"/>
      <c r="J1705" s="46"/>
      <c r="K1705" s="46"/>
      <c r="L1705" s="46"/>
      <c r="M1705" s="46" t="str">
        <f aca="false">IF(OR(B1705="",I1705=""),"",IFERROR(INDEX('Comment flow'!$C$40:$C$46,MATCH(I1705,'Comment flow'!$A$40:$A$46,0)),""))</f>
        <v/>
      </c>
      <c r="N1705" s="46" t="str">
        <f aca="false">IF(B1705="","",IF(OR(I1705="",I1705="Open: needs a decision",L1705=""),"Open","Closed"))</f>
        <v/>
      </c>
      <c r="O1705" s="46"/>
      <c r="P1705" s="46" t="str">
        <f aca="false">IF(OR(B1705="",I1705&lt;&gt;"Save for a later revision"),"",IF(COUNTIF('Deferred edits'!$K$2:$K$201,A1705)&gt;0,"Yes","● Add to Deferred edits"))</f>
        <v/>
      </c>
    </row>
    <row r="1706" customFormat="false" ht="15" hidden="false" customHeight="false" outlineLevel="0" collapsed="false">
      <c r="A1706" s="46" t="s">
        <v>2001</v>
      </c>
      <c r="B1706" s="46"/>
      <c r="C1706" s="46"/>
      <c r="D1706" s="46"/>
      <c r="E1706" s="46"/>
      <c r="F1706" s="46"/>
      <c r="G1706" s="46"/>
      <c r="H1706" s="46"/>
      <c r="I1706" s="46"/>
      <c r="J1706" s="46"/>
      <c r="K1706" s="46"/>
      <c r="L1706" s="46"/>
      <c r="M1706" s="46" t="str">
        <f aca="false">IF(OR(B1706="",I1706=""),"",IFERROR(INDEX('Comment flow'!$C$40:$C$46,MATCH(I1706,'Comment flow'!$A$40:$A$46,0)),""))</f>
        <v/>
      </c>
      <c r="N1706" s="46" t="str">
        <f aca="false">IF(B1706="","",IF(OR(I1706="",I1706="Open: needs a decision",L1706=""),"Open","Closed"))</f>
        <v/>
      </c>
      <c r="O1706" s="46"/>
      <c r="P1706" s="46" t="str">
        <f aca="false">IF(OR(B1706="",I1706&lt;&gt;"Save for a later revision"),"",IF(COUNTIF('Deferred edits'!$K$2:$K$201,A1706)&gt;0,"Yes","● Add to Deferred edits"))</f>
        <v/>
      </c>
    </row>
    <row r="1707" customFormat="false" ht="15" hidden="false" customHeight="false" outlineLevel="0" collapsed="false">
      <c r="A1707" s="46" t="s">
        <v>2002</v>
      </c>
      <c r="B1707" s="46"/>
      <c r="C1707" s="46"/>
      <c r="D1707" s="46"/>
      <c r="E1707" s="46"/>
      <c r="F1707" s="46"/>
      <c r="G1707" s="46"/>
      <c r="H1707" s="46"/>
      <c r="I1707" s="46"/>
      <c r="J1707" s="46"/>
      <c r="K1707" s="46"/>
      <c r="L1707" s="46"/>
      <c r="M1707" s="46" t="str">
        <f aca="false">IF(OR(B1707="",I1707=""),"",IFERROR(INDEX('Comment flow'!$C$40:$C$46,MATCH(I1707,'Comment flow'!$A$40:$A$46,0)),""))</f>
        <v/>
      </c>
      <c r="N1707" s="46" t="str">
        <f aca="false">IF(B1707="","",IF(OR(I1707="",I1707="Open: needs a decision",L1707=""),"Open","Closed"))</f>
        <v/>
      </c>
      <c r="O1707" s="46"/>
      <c r="P1707" s="46" t="str">
        <f aca="false">IF(OR(B1707="",I1707&lt;&gt;"Save for a later revision"),"",IF(COUNTIF('Deferred edits'!$K$2:$K$201,A1707)&gt;0,"Yes","● Add to Deferred edits"))</f>
        <v/>
      </c>
    </row>
    <row r="1708" customFormat="false" ht="15" hidden="false" customHeight="false" outlineLevel="0" collapsed="false">
      <c r="A1708" s="46" t="s">
        <v>2003</v>
      </c>
      <c r="B1708" s="46"/>
      <c r="C1708" s="46"/>
      <c r="D1708" s="46"/>
      <c r="E1708" s="46"/>
      <c r="F1708" s="46"/>
      <c r="G1708" s="46"/>
      <c r="H1708" s="46"/>
      <c r="I1708" s="46"/>
      <c r="J1708" s="46"/>
      <c r="K1708" s="46"/>
      <c r="L1708" s="46"/>
      <c r="M1708" s="46" t="str">
        <f aca="false">IF(OR(B1708="",I1708=""),"",IFERROR(INDEX('Comment flow'!$C$40:$C$46,MATCH(I1708,'Comment flow'!$A$40:$A$46,0)),""))</f>
        <v/>
      </c>
      <c r="N1708" s="46" t="str">
        <f aca="false">IF(B1708="","",IF(OR(I1708="",I1708="Open: needs a decision",L1708=""),"Open","Closed"))</f>
        <v/>
      </c>
      <c r="O1708" s="46"/>
      <c r="P1708" s="46" t="str">
        <f aca="false">IF(OR(B1708="",I1708&lt;&gt;"Save for a later revision"),"",IF(COUNTIF('Deferred edits'!$K$2:$K$201,A1708)&gt;0,"Yes","● Add to Deferred edits"))</f>
        <v/>
      </c>
    </row>
    <row r="1709" customFormat="false" ht="15" hidden="false" customHeight="false" outlineLevel="0" collapsed="false">
      <c r="A1709" s="46" t="s">
        <v>2004</v>
      </c>
      <c r="B1709" s="46"/>
      <c r="C1709" s="46"/>
      <c r="D1709" s="46"/>
      <c r="E1709" s="46"/>
      <c r="F1709" s="46"/>
      <c r="G1709" s="46"/>
      <c r="H1709" s="46"/>
      <c r="I1709" s="46"/>
      <c r="J1709" s="46"/>
      <c r="K1709" s="46"/>
      <c r="L1709" s="46"/>
      <c r="M1709" s="46" t="str">
        <f aca="false">IF(OR(B1709="",I1709=""),"",IFERROR(INDEX('Comment flow'!$C$40:$C$46,MATCH(I1709,'Comment flow'!$A$40:$A$46,0)),""))</f>
        <v/>
      </c>
      <c r="N1709" s="46" t="str">
        <f aca="false">IF(B1709="","",IF(OR(I1709="",I1709="Open: needs a decision",L1709=""),"Open","Closed"))</f>
        <v/>
      </c>
      <c r="O1709" s="46"/>
      <c r="P1709" s="46" t="str">
        <f aca="false">IF(OR(B1709="",I1709&lt;&gt;"Save for a later revision"),"",IF(COUNTIF('Deferred edits'!$K$2:$K$201,A1709)&gt;0,"Yes","● Add to Deferred edits"))</f>
        <v/>
      </c>
    </row>
    <row r="1710" customFormat="false" ht="15" hidden="false" customHeight="false" outlineLevel="0" collapsed="false">
      <c r="A1710" s="46" t="s">
        <v>2005</v>
      </c>
      <c r="B1710" s="46"/>
      <c r="C1710" s="46"/>
      <c r="D1710" s="46"/>
      <c r="E1710" s="46"/>
      <c r="F1710" s="46"/>
      <c r="G1710" s="46"/>
      <c r="H1710" s="46"/>
      <c r="I1710" s="46"/>
      <c r="J1710" s="46"/>
      <c r="K1710" s="46"/>
      <c r="L1710" s="46"/>
      <c r="M1710" s="46" t="str">
        <f aca="false">IF(OR(B1710="",I1710=""),"",IFERROR(INDEX('Comment flow'!$C$40:$C$46,MATCH(I1710,'Comment flow'!$A$40:$A$46,0)),""))</f>
        <v/>
      </c>
      <c r="N1710" s="46" t="str">
        <f aca="false">IF(B1710="","",IF(OR(I1710="",I1710="Open: needs a decision",L1710=""),"Open","Closed"))</f>
        <v/>
      </c>
      <c r="O1710" s="46"/>
      <c r="P1710" s="46" t="str">
        <f aca="false">IF(OR(B1710="",I1710&lt;&gt;"Save for a later revision"),"",IF(COUNTIF('Deferred edits'!$K$2:$K$201,A1710)&gt;0,"Yes","● Add to Deferred edits"))</f>
        <v/>
      </c>
    </row>
    <row r="1711" customFormat="false" ht="15" hidden="false" customHeight="false" outlineLevel="0" collapsed="false">
      <c r="A1711" s="46" t="s">
        <v>2006</v>
      </c>
      <c r="B1711" s="46"/>
      <c r="C1711" s="46"/>
      <c r="D1711" s="46"/>
      <c r="E1711" s="46"/>
      <c r="F1711" s="46"/>
      <c r="G1711" s="46"/>
      <c r="H1711" s="46"/>
      <c r="I1711" s="46"/>
      <c r="J1711" s="46"/>
      <c r="K1711" s="46"/>
      <c r="L1711" s="46"/>
      <c r="M1711" s="46" t="str">
        <f aca="false">IF(OR(B1711="",I1711=""),"",IFERROR(INDEX('Comment flow'!$C$40:$C$46,MATCH(I1711,'Comment flow'!$A$40:$A$46,0)),""))</f>
        <v/>
      </c>
      <c r="N1711" s="46" t="str">
        <f aca="false">IF(B1711="","",IF(OR(I1711="",I1711="Open: needs a decision",L1711=""),"Open","Closed"))</f>
        <v/>
      </c>
      <c r="O1711" s="46"/>
      <c r="P1711" s="46" t="str">
        <f aca="false">IF(OR(B1711="",I1711&lt;&gt;"Save for a later revision"),"",IF(COUNTIF('Deferred edits'!$K$2:$K$201,A1711)&gt;0,"Yes","● Add to Deferred edits"))</f>
        <v/>
      </c>
    </row>
    <row r="1712" customFormat="false" ht="15" hidden="false" customHeight="false" outlineLevel="0" collapsed="false">
      <c r="A1712" s="46" t="s">
        <v>2007</v>
      </c>
      <c r="B1712" s="46"/>
      <c r="C1712" s="46"/>
      <c r="D1712" s="46"/>
      <c r="E1712" s="46"/>
      <c r="F1712" s="46"/>
      <c r="G1712" s="46"/>
      <c r="H1712" s="46"/>
      <c r="I1712" s="46"/>
      <c r="J1712" s="46"/>
      <c r="K1712" s="46"/>
      <c r="L1712" s="46"/>
      <c r="M1712" s="46" t="str">
        <f aca="false">IF(OR(B1712="",I1712=""),"",IFERROR(INDEX('Comment flow'!$C$40:$C$46,MATCH(I1712,'Comment flow'!$A$40:$A$46,0)),""))</f>
        <v/>
      </c>
      <c r="N1712" s="46" t="str">
        <f aca="false">IF(B1712="","",IF(OR(I1712="",I1712="Open: needs a decision",L1712=""),"Open","Closed"))</f>
        <v/>
      </c>
      <c r="O1712" s="46"/>
      <c r="P1712" s="46" t="str">
        <f aca="false">IF(OR(B1712="",I1712&lt;&gt;"Save for a later revision"),"",IF(COUNTIF('Deferred edits'!$K$2:$K$201,A1712)&gt;0,"Yes","● Add to Deferred edits"))</f>
        <v/>
      </c>
    </row>
    <row r="1713" customFormat="false" ht="15" hidden="false" customHeight="false" outlineLevel="0" collapsed="false">
      <c r="A1713" s="46" t="s">
        <v>2008</v>
      </c>
      <c r="B1713" s="46"/>
      <c r="C1713" s="46"/>
      <c r="D1713" s="46"/>
      <c r="E1713" s="46"/>
      <c r="F1713" s="46"/>
      <c r="G1713" s="46"/>
      <c r="H1713" s="46"/>
      <c r="I1713" s="46"/>
      <c r="J1713" s="46"/>
      <c r="K1713" s="46"/>
      <c r="L1713" s="46"/>
      <c r="M1713" s="46" t="str">
        <f aca="false">IF(OR(B1713="",I1713=""),"",IFERROR(INDEX('Comment flow'!$C$40:$C$46,MATCH(I1713,'Comment flow'!$A$40:$A$46,0)),""))</f>
        <v/>
      </c>
      <c r="N1713" s="46" t="str">
        <f aca="false">IF(B1713="","",IF(OR(I1713="",I1713="Open: needs a decision",L1713=""),"Open","Closed"))</f>
        <v/>
      </c>
      <c r="O1713" s="46"/>
      <c r="P1713" s="46" t="str">
        <f aca="false">IF(OR(B1713="",I1713&lt;&gt;"Save for a later revision"),"",IF(COUNTIF('Deferred edits'!$K$2:$K$201,A1713)&gt;0,"Yes","● Add to Deferred edits"))</f>
        <v/>
      </c>
    </row>
    <row r="1714" customFormat="false" ht="15" hidden="false" customHeight="false" outlineLevel="0" collapsed="false">
      <c r="A1714" s="46" t="s">
        <v>2009</v>
      </c>
      <c r="B1714" s="46"/>
      <c r="C1714" s="46"/>
      <c r="D1714" s="46"/>
      <c r="E1714" s="46"/>
      <c r="F1714" s="46"/>
      <c r="G1714" s="46"/>
      <c r="H1714" s="46"/>
      <c r="I1714" s="46"/>
      <c r="J1714" s="46"/>
      <c r="K1714" s="46"/>
      <c r="L1714" s="46"/>
      <c r="M1714" s="46" t="str">
        <f aca="false">IF(OR(B1714="",I1714=""),"",IFERROR(INDEX('Comment flow'!$C$40:$C$46,MATCH(I1714,'Comment flow'!$A$40:$A$46,0)),""))</f>
        <v/>
      </c>
      <c r="N1714" s="46" t="str">
        <f aca="false">IF(B1714="","",IF(OR(I1714="",I1714="Open: needs a decision",L1714=""),"Open","Closed"))</f>
        <v/>
      </c>
      <c r="O1714" s="46"/>
      <c r="P1714" s="46" t="str">
        <f aca="false">IF(OR(B1714="",I1714&lt;&gt;"Save for a later revision"),"",IF(COUNTIF('Deferred edits'!$K$2:$K$201,A1714)&gt;0,"Yes","● Add to Deferred edits"))</f>
        <v/>
      </c>
    </row>
    <row r="1715" customFormat="false" ht="15" hidden="false" customHeight="false" outlineLevel="0" collapsed="false">
      <c r="A1715" s="46" t="s">
        <v>2010</v>
      </c>
      <c r="B1715" s="46"/>
      <c r="C1715" s="46"/>
      <c r="D1715" s="46"/>
      <c r="E1715" s="46"/>
      <c r="F1715" s="46"/>
      <c r="G1715" s="46"/>
      <c r="H1715" s="46"/>
      <c r="I1715" s="46"/>
      <c r="J1715" s="46"/>
      <c r="K1715" s="46"/>
      <c r="L1715" s="46"/>
      <c r="M1715" s="46" t="str">
        <f aca="false">IF(OR(B1715="",I1715=""),"",IFERROR(INDEX('Comment flow'!$C$40:$C$46,MATCH(I1715,'Comment flow'!$A$40:$A$46,0)),""))</f>
        <v/>
      </c>
      <c r="N1715" s="46" t="str">
        <f aca="false">IF(B1715="","",IF(OR(I1715="",I1715="Open: needs a decision",L1715=""),"Open","Closed"))</f>
        <v/>
      </c>
      <c r="O1715" s="46"/>
      <c r="P1715" s="46" t="str">
        <f aca="false">IF(OR(B1715="",I1715&lt;&gt;"Save for a later revision"),"",IF(COUNTIF('Deferred edits'!$K$2:$K$201,A1715)&gt;0,"Yes","● Add to Deferred edits"))</f>
        <v/>
      </c>
    </row>
    <row r="1716" customFormat="false" ht="15" hidden="false" customHeight="false" outlineLevel="0" collapsed="false">
      <c r="A1716" s="46" t="s">
        <v>2011</v>
      </c>
      <c r="B1716" s="46"/>
      <c r="C1716" s="46"/>
      <c r="D1716" s="46"/>
      <c r="E1716" s="46"/>
      <c r="F1716" s="46"/>
      <c r="G1716" s="46"/>
      <c r="H1716" s="46"/>
      <c r="I1716" s="46"/>
      <c r="J1716" s="46"/>
      <c r="K1716" s="46"/>
      <c r="L1716" s="46"/>
      <c r="M1716" s="46" t="str">
        <f aca="false">IF(OR(B1716="",I1716=""),"",IFERROR(INDEX('Comment flow'!$C$40:$C$46,MATCH(I1716,'Comment flow'!$A$40:$A$46,0)),""))</f>
        <v/>
      </c>
      <c r="N1716" s="46" t="str">
        <f aca="false">IF(B1716="","",IF(OR(I1716="",I1716="Open: needs a decision",L1716=""),"Open","Closed"))</f>
        <v/>
      </c>
      <c r="O1716" s="46"/>
      <c r="P1716" s="46" t="str">
        <f aca="false">IF(OR(B1716="",I1716&lt;&gt;"Save for a later revision"),"",IF(COUNTIF('Deferred edits'!$K$2:$K$201,A1716)&gt;0,"Yes","● Add to Deferred edits"))</f>
        <v/>
      </c>
    </row>
    <row r="1717" customFormat="false" ht="15" hidden="false" customHeight="false" outlineLevel="0" collapsed="false">
      <c r="A1717" s="46" t="s">
        <v>2012</v>
      </c>
      <c r="B1717" s="46"/>
      <c r="C1717" s="46"/>
      <c r="D1717" s="46"/>
      <c r="E1717" s="46"/>
      <c r="F1717" s="46"/>
      <c r="G1717" s="46"/>
      <c r="H1717" s="46"/>
      <c r="I1717" s="46"/>
      <c r="J1717" s="46"/>
      <c r="K1717" s="46"/>
      <c r="L1717" s="46"/>
      <c r="M1717" s="46" t="str">
        <f aca="false">IF(OR(B1717="",I1717=""),"",IFERROR(INDEX('Comment flow'!$C$40:$C$46,MATCH(I1717,'Comment flow'!$A$40:$A$46,0)),""))</f>
        <v/>
      </c>
      <c r="N1717" s="46" t="str">
        <f aca="false">IF(B1717="","",IF(OR(I1717="",I1717="Open: needs a decision",L1717=""),"Open","Closed"))</f>
        <v/>
      </c>
      <c r="O1717" s="46"/>
      <c r="P1717" s="46" t="str">
        <f aca="false">IF(OR(B1717="",I1717&lt;&gt;"Save for a later revision"),"",IF(COUNTIF('Deferred edits'!$K$2:$K$201,A1717)&gt;0,"Yes","● Add to Deferred edits"))</f>
        <v/>
      </c>
    </row>
    <row r="1718" customFormat="false" ht="15" hidden="false" customHeight="false" outlineLevel="0" collapsed="false">
      <c r="A1718" s="46" t="s">
        <v>2013</v>
      </c>
      <c r="B1718" s="46"/>
      <c r="C1718" s="46"/>
      <c r="D1718" s="46"/>
      <c r="E1718" s="46"/>
      <c r="F1718" s="46"/>
      <c r="G1718" s="46"/>
      <c r="H1718" s="46"/>
      <c r="I1718" s="46"/>
      <c r="J1718" s="46"/>
      <c r="K1718" s="46"/>
      <c r="L1718" s="46"/>
      <c r="M1718" s="46" t="str">
        <f aca="false">IF(OR(B1718="",I1718=""),"",IFERROR(INDEX('Comment flow'!$C$40:$C$46,MATCH(I1718,'Comment flow'!$A$40:$A$46,0)),""))</f>
        <v/>
      </c>
      <c r="N1718" s="46" t="str">
        <f aca="false">IF(B1718="","",IF(OR(I1718="",I1718="Open: needs a decision",L1718=""),"Open","Closed"))</f>
        <v/>
      </c>
      <c r="O1718" s="46"/>
      <c r="P1718" s="46" t="str">
        <f aca="false">IF(OR(B1718="",I1718&lt;&gt;"Save for a later revision"),"",IF(COUNTIF('Deferred edits'!$K$2:$K$201,A1718)&gt;0,"Yes","● Add to Deferred edits"))</f>
        <v/>
      </c>
    </row>
    <row r="1719" customFormat="false" ht="15" hidden="false" customHeight="false" outlineLevel="0" collapsed="false">
      <c r="A1719" s="46" t="s">
        <v>2014</v>
      </c>
      <c r="B1719" s="46"/>
      <c r="C1719" s="46"/>
      <c r="D1719" s="46"/>
      <c r="E1719" s="46"/>
      <c r="F1719" s="46"/>
      <c r="G1719" s="46"/>
      <c r="H1719" s="46"/>
      <c r="I1719" s="46"/>
      <c r="J1719" s="46"/>
      <c r="K1719" s="46"/>
      <c r="L1719" s="46"/>
      <c r="M1719" s="46" t="str">
        <f aca="false">IF(OR(B1719="",I1719=""),"",IFERROR(INDEX('Comment flow'!$C$40:$C$46,MATCH(I1719,'Comment flow'!$A$40:$A$46,0)),""))</f>
        <v/>
      </c>
      <c r="N1719" s="46" t="str">
        <f aca="false">IF(B1719="","",IF(OR(I1719="",I1719="Open: needs a decision",L1719=""),"Open","Closed"))</f>
        <v/>
      </c>
      <c r="O1719" s="46"/>
      <c r="P1719" s="46" t="str">
        <f aca="false">IF(OR(B1719="",I1719&lt;&gt;"Save for a later revision"),"",IF(COUNTIF('Deferred edits'!$K$2:$K$201,A1719)&gt;0,"Yes","● Add to Deferred edits"))</f>
        <v/>
      </c>
    </row>
    <row r="1720" customFormat="false" ht="15" hidden="false" customHeight="false" outlineLevel="0" collapsed="false">
      <c r="A1720" s="46" t="s">
        <v>2015</v>
      </c>
      <c r="B1720" s="46"/>
      <c r="C1720" s="46"/>
      <c r="D1720" s="46"/>
      <c r="E1720" s="46"/>
      <c r="F1720" s="46"/>
      <c r="G1720" s="46"/>
      <c r="H1720" s="46"/>
      <c r="I1720" s="46"/>
      <c r="J1720" s="46"/>
      <c r="K1720" s="46"/>
      <c r="L1720" s="46"/>
      <c r="M1720" s="46" t="str">
        <f aca="false">IF(OR(B1720="",I1720=""),"",IFERROR(INDEX('Comment flow'!$C$40:$C$46,MATCH(I1720,'Comment flow'!$A$40:$A$46,0)),""))</f>
        <v/>
      </c>
      <c r="N1720" s="46" t="str">
        <f aca="false">IF(B1720="","",IF(OR(I1720="",I1720="Open: needs a decision",L1720=""),"Open","Closed"))</f>
        <v/>
      </c>
      <c r="O1720" s="46"/>
      <c r="P1720" s="46" t="str">
        <f aca="false">IF(OR(B1720="",I1720&lt;&gt;"Save for a later revision"),"",IF(COUNTIF('Deferred edits'!$K$2:$K$201,A1720)&gt;0,"Yes","● Add to Deferred edits"))</f>
        <v/>
      </c>
    </row>
    <row r="1721" customFormat="false" ht="15" hidden="false" customHeight="false" outlineLevel="0" collapsed="false">
      <c r="A1721" s="46" t="s">
        <v>2016</v>
      </c>
      <c r="B1721" s="46"/>
      <c r="C1721" s="46"/>
      <c r="D1721" s="46"/>
      <c r="E1721" s="46"/>
      <c r="F1721" s="46"/>
      <c r="G1721" s="46"/>
      <c r="H1721" s="46"/>
      <c r="I1721" s="46"/>
      <c r="J1721" s="46"/>
      <c r="K1721" s="46"/>
      <c r="L1721" s="46"/>
      <c r="M1721" s="46" t="str">
        <f aca="false">IF(OR(B1721="",I1721=""),"",IFERROR(INDEX('Comment flow'!$C$40:$C$46,MATCH(I1721,'Comment flow'!$A$40:$A$46,0)),""))</f>
        <v/>
      </c>
      <c r="N1721" s="46" t="str">
        <f aca="false">IF(B1721="","",IF(OR(I1721="",I1721="Open: needs a decision",L1721=""),"Open","Closed"))</f>
        <v/>
      </c>
      <c r="O1721" s="46"/>
      <c r="P1721" s="46" t="str">
        <f aca="false">IF(OR(B1721="",I1721&lt;&gt;"Save for a later revision"),"",IF(COUNTIF('Deferred edits'!$K$2:$K$201,A1721)&gt;0,"Yes","● Add to Deferred edits"))</f>
        <v/>
      </c>
    </row>
    <row r="1722" customFormat="false" ht="15" hidden="false" customHeight="false" outlineLevel="0" collapsed="false">
      <c r="A1722" s="46" t="s">
        <v>2017</v>
      </c>
      <c r="B1722" s="46"/>
      <c r="C1722" s="46"/>
      <c r="D1722" s="46"/>
      <c r="E1722" s="46"/>
      <c r="F1722" s="46"/>
      <c r="G1722" s="46"/>
      <c r="H1722" s="46"/>
      <c r="I1722" s="46"/>
      <c r="J1722" s="46"/>
      <c r="K1722" s="46"/>
      <c r="L1722" s="46"/>
      <c r="M1722" s="46" t="str">
        <f aca="false">IF(OR(B1722="",I1722=""),"",IFERROR(INDEX('Comment flow'!$C$40:$C$46,MATCH(I1722,'Comment flow'!$A$40:$A$46,0)),""))</f>
        <v/>
      </c>
      <c r="N1722" s="46" t="str">
        <f aca="false">IF(B1722="","",IF(OR(I1722="",I1722="Open: needs a decision",L1722=""),"Open","Closed"))</f>
        <v/>
      </c>
      <c r="O1722" s="46"/>
      <c r="P1722" s="46" t="str">
        <f aca="false">IF(OR(B1722="",I1722&lt;&gt;"Save for a later revision"),"",IF(COUNTIF('Deferred edits'!$K$2:$K$201,A1722)&gt;0,"Yes","● Add to Deferred edits"))</f>
        <v/>
      </c>
    </row>
    <row r="1723" customFormat="false" ht="15" hidden="false" customHeight="false" outlineLevel="0" collapsed="false">
      <c r="A1723" s="46" t="s">
        <v>2018</v>
      </c>
      <c r="B1723" s="46"/>
      <c r="C1723" s="46"/>
      <c r="D1723" s="46"/>
      <c r="E1723" s="46"/>
      <c r="F1723" s="46"/>
      <c r="G1723" s="46"/>
      <c r="H1723" s="46"/>
      <c r="I1723" s="46"/>
      <c r="J1723" s="46"/>
      <c r="K1723" s="46"/>
      <c r="L1723" s="46"/>
      <c r="M1723" s="46" t="str">
        <f aca="false">IF(OR(B1723="",I1723=""),"",IFERROR(INDEX('Comment flow'!$C$40:$C$46,MATCH(I1723,'Comment flow'!$A$40:$A$46,0)),""))</f>
        <v/>
      </c>
      <c r="N1723" s="46" t="str">
        <f aca="false">IF(B1723="","",IF(OR(I1723="",I1723="Open: needs a decision",L1723=""),"Open","Closed"))</f>
        <v/>
      </c>
      <c r="O1723" s="46"/>
      <c r="P1723" s="46" t="str">
        <f aca="false">IF(OR(B1723="",I1723&lt;&gt;"Save for a later revision"),"",IF(COUNTIF('Deferred edits'!$K$2:$K$201,A1723)&gt;0,"Yes","● Add to Deferred edits"))</f>
        <v/>
      </c>
    </row>
    <row r="1724" customFormat="false" ht="15" hidden="false" customHeight="false" outlineLevel="0" collapsed="false">
      <c r="A1724" s="46" t="s">
        <v>2019</v>
      </c>
      <c r="B1724" s="46"/>
      <c r="C1724" s="46"/>
      <c r="D1724" s="46"/>
      <c r="E1724" s="46"/>
      <c r="F1724" s="46"/>
      <c r="G1724" s="46"/>
      <c r="H1724" s="46"/>
      <c r="I1724" s="46"/>
      <c r="J1724" s="46"/>
      <c r="K1724" s="46"/>
      <c r="L1724" s="46"/>
      <c r="M1724" s="46" t="str">
        <f aca="false">IF(OR(B1724="",I1724=""),"",IFERROR(INDEX('Comment flow'!$C$40:$C$46,MATCH(I1724,'Comment flow'!$A$40:$A$46,0)),""))</f>
        <v/>
      </c>
      <c r="N1724" s="46" t="str">
        <f aca="false">IF(B1724="","",IF(OR(I1724="",I1724="Open: needs a decision",L1724=""),"Open","Closed"))</f>
        <v/>
      </c>
      <c r="O1724" s="46"/>
      <c r="P1724" s="46" t="str">
        <f aca="false">IF(OR(B1724="",I1724&lt;&gt;"Save for a later revision"),"",IF(COUNTIF('Deferred edits'!$K$2:$K$201,A1724)&gt;0,"Yes","● Add to Deferred edits"))</f>
        <v/>
      </c>
    </row>
    <row r="1725" customFormat="false" ht="15" hidden="false" customHeight="false" outlineLevel="0" collapsed="false">
      <c r="A1725" s="46" t="s">
        <v>2020</v>
      </c>
      <c r="B1725" s="46"/>
      <c r="C1725" s="46"/>
      <c r="D1725" s="46"/>
      <c r="E1725" s="46"/>
      <c r="F1725" s="46"/>
      <c r="G1725" s="46"/>
      <c r="H1725" s="46"/>
      <c r="I1725" s="46"/>
      <c r="J1725" s="46"/>
      <c r="K1725" s="46"/>
      <c r="L1725" s="46"/>
      <c r="M1725" s="46" t="str">
        <f aca="false">IF(OR(B1725="",I1725=""),"",IFERROR(INDEX('Comment flow'!$C$40:$C$46,MATCH(I1725,'Comment flow'!$A$40:$A$46,0)),""))</f>
        <v/>
      </c>
      <c r="N1725" s="46" t="str">
        <f aca="false">IF(B1725="","",IF(OR(I1725="",I1725="Open: needs a decision",L1725=""),"Open","Closed"))</f>
        <v/>
      </c>
      <c r="O1725" s="46"/>
      <c r="P1725" s="46" t="str">
        <f aca="false">IF(OR(B1725="",I1725&lt;&gt;"Save for a later revision"),"",IF(COUNTIF('Deferred edits'!$K$2:$K$201,A1725)&gt;0,"Yes","● Add to Deferred edits"))</f>
        <v/>
      </c>
    </row>
    <row r="1726" customFormat="false" ht="15" hidden="false" customHeight="false" outlineLevel="0" collapsed="false">
      <c r="A1726" s="46" t="s">
        <v>2021</v>
      </c>
      <c r="B1726" s="46"/>
      <c r="C1726" s="46"/>
      <c r="D1726" s="46"/>
      <c r="E1726" s="46"/>
      <c r="F1726" s="46"/>
      <c r="G1726" s="46"/>
      <c r="H1726" s="46"/>
      <c r="I1726" s="46"/>
      <c r="J1726" s="46"/>
      <c r="K1726" s="46"/>
      <c r="L1726" s="46"/>
      <c r="M1726" s="46" t="str">
        <f aca="false">IF(OR(B1726="",I1726=""),"",IFERROR(INDEX('Comment flow'!$C$40:$C$46,MATCH(I1726,'Comment flow'!$A$40:$A$46,0)),""))</f>
        <v/>
      </c>
      <c r="N1726" s="46" t="str">
        <f aca="false">IF(B1726="","",IF(OR(I1726="",I1726="Open: needs a decision",L1726=""),"Open","Closed"))</f>
        <v/>
      </c>
      <c r="O1726" s="46"/>
      <c r="P1726" s="46" t="str">
        <f aca="false">IF(OR(B1726="",I1726&lt;&gt;"Save for a later revision"),"",IF(COUNTIF('Deferred edits'!$K$2:$K$201,A1726)&gt;0,"Yes","● Add to Deferred edits"))</f>
        <v/>
      </c>
    </row>
    <row r="1727" customFormat="false" ht="15" hidden="false" customHeight="false" outlineLevel="0" collapsed="false">
      <c r="A1727" s="46" t="s">
        <v>2022</v>
      </c>
      <c r="B1727" s="46"/>
      <c r="C1727" s="46"/>
      <c r="D1727" s="46"/>
      <c r="E1727" s="46"/>
      <c r="F1727" s="46"/>
      <c r="G1727" s="46"/>
      <c r="H1727" s="46"/>
      <c r="I1727" s="46"/>
      <c r="J1727" s="46"/>
      <c r="K1727" s="46"/>
      <c r="L1727" s="46"/>
      <c r="M1727" s="46" t="str">
        <f aca="false">IF(OR(B1727="",I1727=""),"",IFERROR(INDEX('Comment flow'!$C$40:$C$46,MATCH(I1727,'Comment flow'!$A$40:$A$46,0)),""))</f>
        <v/>
      </c>
      <c r="N1727" s="46" t="str">
        <f aca="false">IF(B1727="","",IF(OR(I1727="",I1727="Open: needs a decision",L1727=""),"Open","Closed"))</f>
        <v/>
      </c>
      <c r="O1727" s="46"/>
      <c r="P1727" s="46" t="str">
        <f aca="false">IF(OR(B1727="",I1727&lt;&gt;"Save for a later revision"),"",IF(COUNTIF('Deferred edits'!$K$2:$K$201,A1727)&gt;0,"Yes","● Add to Deferred edits"))</f>
        <v/>
      </c>
    </row>
    <row r="1728" customFormat="false" ht="15" hidden="false" customHeight="false" outlineLevel="0" collapsed="false">
      <c r="A1728" s="46" t="s">
        <v>2023</v>
      </c>
      <c r="B1728" s="46"/>
      <c r="C1728" s="46"/>
      <c r="D1728" s="46"/>
      <c r="E1728" s="46"/>
      <c r="F1728" s="46"/>
      <c r="G1728" s="46"/>
      <c r="H1728" s="46"/>
      <c r="I1728" s="46"/>
      <c r="J1728" s="46"/>
      <c r="K1728" s="46"/>
      <c r="L1728" s="46"/>
      <c r="M1728" s="46" t="str">
        <f aca="false">IF(OR(B1728="",I1728=""),"",IFERROR(INDEX('Comment flow'!$C$40:$C$46,MATCH(I1728,'Comment flow'!$A$40:$A$46,0)),""))</f>
        <v/>
      </c>
      <c r="N1728" s="46" t="str">
        <f aca="false">IF(B1728="","",IF(OR(I1728="",I1728="Open: needs a decision",L1728=""),"Open","Closed"))</f>
        <v/>
      </c>
      <c r="O1728" s="46"/>
      <c r="P1728" s="46" t="str">
        <f aca="false">IF(OR(B1728="",I1728&lt;&gt;"Save for a later revision"),"",IF(COUNTIF('Deferred edits'!$K$2:$K$201,A1728)&gt;0,"Yes","● Add to Deferred edits"))</f>
        <v/>
      </c>
    </row>
    <row r="1729" customFormat="false" ht="15" hidden="false" customHeight="false" outlineLevel="0" collapsed="false">
      <c r="A1729" s="46" t="s">
        <v>2024</v>
      </c>
      <c r="B1729" s="46"/>
      <c r="C1729" s="46"/>
      <c r="D1729" s="46"/>
      <c r="E1729" s="46"/>
      <c r="F1729" s="46"/>
      <c r="G1729" s="46"/>
      <c r="H1729" s="46"/>
      <c r="I1729" s="46"/>
      <c r="J1729" s="46"/>
      <c r="K1729" s="46"/>
      <c r="L1729" s="46"/>
      <c r="M1729" s="46" t="str">
        <f aca="false">IF(OR(B1729="",I1729=""),"",IFERROR(INDEX('Comment flow'!$C$40:$C$46,MATCH(I1729,'Comment flow'!$A$40:$A$46,0)),""))</f>
        <v/>
      </c>
      <c r="N1729" s="46" t="str">
        <f aca="false">IF(B1729="","",IF(OR(I1729="",I1729="Open: needs a decision",L1729=""),"Open","Closed"))</f>
        <v/>
      </c>
      <c r="O1729" s="46"/>
      <c r="P1729" s="46" t="str">
        <f aca="false">IF(OR(B1729="",I1729&lt;&gt;"Save for a later revision"),"",IF(COUNTIF('Deferred edits'!$K$2:$K$201,A1729)&gt;0,"Yes","● Add to Deferred edits"))</f>
        <v/>
      </c>
    </row>
    <row r="1730" customFormat="false" ht="15" hidden="false" customHeight="false" outlineLevel="0" collapsed="false">
      <c r="A1730" s="46" t="s">
        <v>2025</v>
      </c>
      <c r="B1730" s="46"/>
      <c r="C1730" s="46"/>
      <c r="D1730" s="46"/>
      <c r="E1730" s="46"/>
      <c r="F1730" s="46"/>
      <c r="G1730" s="46"/>
      <c r="H1730" s="46"/>
      <c r="I1730" s="46"/>
      <c r="J1730" s="46"/>
      <c r="K1730" s="46"/>
      <c r="L1730" s="46"/>
      <c r="M1730" s="46" t="str">
        <f aca="false">IF(OR(B1730="",I1730=""),"",IFERROR(INDEX('Comment flow'!$C$40:$C$46,MATCH(I1730,'Comment flow'!$A$40:$A$46,0)),""))</f>
        <v/>
      </c>
      <c r="N1730" s="46" t="str">
        <f aca="false">IF(B1730="","",IF(OR(I1730="",I1730="Open: needs a decision",L1730=""),"Open","Closed"))</f>
        <v/>
      </c>
      <c r="O1730" s="46"/>
      <c r="P1730" s="46" t="str">
        <f aca="false">IF(OR(B1730="",I1730&lt;&gt;"Save for a later revision"),"",IF(COUNTIF('Deferred edits'!$K$2:$K$201,A1730)&gt;0,"Yes","● Add to Deferred edits"))</f>
        <v/>
      </c>
    </row>
    <row r="1731" customFormat="false" ht="15" hidden="false" customHeight="false" outlineLevel="0" collapsed="false">
      <c r="A1731" s="46" t="s">
        <v>2026</v>
      </c>
      <c r="B1731" s="46"/>
      <c r="C1731" s="46"/>
      <c r="D1731" s="46"/>
      <c r="E1731" s="46"/>
      <c r="F1731" s="46"/>
      <c r="G1731" s="46"/>
      <c r="H1731" s="46"/>
      <c r="I1731" s="46"/>
      <c r="J1731" s="46"/>
      <c r="K1731" s="46"/>
      <c r="L1731" s="46"/>
      <c r="M1731" s="46" t="str">
        <f aca="false">IF(OR(B1731="",I1731=""),"",IFERROR(INDEX('Comment flow'!$C$40:$C$46,MATCH(I1731,'Comment flow'!$A$40:$A$46,0)),""))</f>
        <v/>
      </c>
      <c r="N1731" s="46" t="str">
        <f aca="false">IF(B1731="","",IF(OR(I1731="",I1731="Open: needs a decision",L1731=""),"Open","Closed"))</f>
        <v/>
      </c>
      <c r="O1731" s="46"/>
      <c r="P1731" s="46" t="str">
        <f aca="false">IF(OR(B1731="",I1731&lt;&gt;"Save for a later revision"),"",IF(COUNTIF('Deferred edits'!$K$2:$K$201,A1731)&gt;0,"Yes","● Add to Deferred edits"))</f>
        <v/>
      </c>
    </row>
    <row r="1732" customFormat="false" ht="15" hidden="false" customHeight="false" outlineLevel="0" collapsed="false">
      <c r="A1732" s="46" t="s">
        <v>2027</v>
      </c>
      <c r="B1732" s="46"/>
      <c r="C1732" s="46"/>
      <c r="D1732" s="46"/>
      <c r="E1732" s="46"/>
      <c r="F1732" s="46"/>
      <c r="G1732" s="46"/>
      <c r="H1732" s="46"/>
      <c r="I1732" s="46"/>
      <c r="J1732" s="46"/>
      <c r="K1732" s="46"/>
      <c r="L1732" s="46"/>
      <c r="M1732" s="46" t="str">
        <f aca="false">IF(OR(B1732="",I1732=""),"",IFERROR(INDEX('Comment flow'!$C$40:$C$46,MATCH(I1732,'Comment flow'!$A$40:$A$46,0)),""))</f>
        <v/>
      </c>
      <c r="N1732" s="46" t="str">
        <f aca="false">IF(B1732="","",IF(OR(I1732="",I1732="Open: needs a decision",L1732=""),"Open","Closed"))</f>
        <v/>
      </c>
      <c r="O1732" s="46"/>
      <c r="P1732" s="46" t="str">
        <f aca="false">IF(OR(B1732="",I1732&lt;&gt;"Save for a later revision"),"",IF(COUNTIF('Deferred edits'!$K$2:$K$201,A1732)&gt;0,"Yes","● Add to Deferred edits"))</f>
        <v/>
      </c>
    </row>
    <row r="1733" customFormat="false" ht="15" hidden="false" customHeight="false" outlineLevel="0" collapsed="false">
      <c r="A1733" s="46" t="s">
        <v>2028</v>
      </c>
      <c r="B1733" s="46"/>
      <c r="C1733" s="46"/>
      <c r="D1733" s="46"/>
      <c r="E1733" s="46"/>
      <c r="F1733" s="46"/>
      <c r="G1733" s="46"/>
      <c r="H1733" s="46"/>
      <c r="I1733" s="46"/>
      <c r="J1733" s="46"/>
      <c r="K1733" s="46"/>
      <c r="L1733" s="46"/>
      <c r="M1733" s="46" t="str">
        <f aca="false">IF(OR(B1733="",I1733=""),"",IFERROR(INDEX('Comment flow'!$C$40:$C$46,MATCH(I1733,'Comment flow'!$A$40:$A$46,0)),""))</f>
        <v/>
      </c>
      <c r="N1733" s="46" t="str">
        <f aca="false">IF(B1733="","",IF(OR(I1733="",I1733="Open: needs a decision",L1733=""),"Open","Closed"))</f>
        <v/>
      </c>
      <c r="O1733" s="46"/>
      <c r="P1733" s="46" t="str">
        <f aca="false">IF(OR(B1733="",I1733&lt;&gt;"Save for a later revision"),"",IF(COUNTIF('Deferred edits'!$K$2:$K$201,A1733)&gt;0,"Yes","● Add to Deferred edits"))</f>
        <v/>
      </c>
    </row>
    <row r="1734" customFormat="false" ht="15" hidden="false" customHeight="false" outlineLevel="0" collapsed="false">
      <c r="A1734" s="46" t="s">
        <v>2029</v>
      </c>
      <c r="B1734" s="46"/>
      <c r="C1734" s="46"/>
      <c r="D1734" s="46"/>
      <c r="E1734" s="46"/>
      <c r="F1734" s="46"/>
      <c r="G1734" s="46"/>
      <c r="H1734" s="46"/>
      <c r="I1734" s="46"/>
      <c r="J1734" s="46"/>
      <c r="K1734" s="46"/>
      <c r="L1734" s="46"/>
      <c r="M1734" s="46" t="str">
        <f aca="false">IF(OR(B1734="",I1734=""),"",IFERROR(INDEX('Comment flow'!$C$40:$C$46,MATCH(I1734,'Comment flow'!$A$40:$A$46,0)),""))</f>
        <v/>
      </c>
      <c r="N1734" s="46" t="str">
        <f aca="false">IF(B1734="","",IF(OR(I1734="",I1734="Open: needs a decision",L1734=""),"Open","Closed"))</f>
        <v/>
      </c>
      <c r="O1734" s="46"/>
      <c r="P1734" s="46" t="str">
        <f aca="false">IF(OR(B1734="",I1734&lt;&gt;"Save for a later revision"),"",IF(COUNTIF('Deferred edits'!$K$2:$K$201,A1734)&gt;0,"Yes","● Add to Deferred edits"))</f>
        <v/>
      </c>
    </row>
    <row r="1735" customFormat="false" ht="15" hidden="false" customHeight="false" outlineLevel="0" collapsed="false">
      <c r="A1735" s="46" t="s">
        <v>2030</v>
      </c>
      <c r="B1735" s="46"/>
      <c r="C1735" s="46"/>
      <c r="D1735" s="46"/>
      <c r="E1735" s="46"/>
      <c r="F1735" s="46"/>
      <c r="G1735" s="46"/>
      <c r="H1735" s="46"/>
      <c r="I1735" s="46"/>
      <c r="J1735" s="46"/>
      <c r="K1735" s="46"/>
      <c r="L1735" s="46"/>
      <c r="M1735" s="46" t="str">
        <f aca="false">IF(OR(B1735="",I1735=""),"",IFERROR(INDEX('Comment flow'!$C$40:$C$46,MATCH(I1735,'Comment flow'!$A$40:$A$46,0)),""))</f>
        <v/>
      </c>
      <c r="N1735" s="46" t="str">
        <f aca="false">IF(B1735="","",IF(OR(I1735="",I1735="Open: needs a decision",L1735=""),"Open","Closed"))</f>
        <v/>
      </c>
      <c r="O1735" s="46"/>
      <c r="P1735" s="46" t="str">
        <f aca="false">IF(OR(B1735="",I1735&lt;&gt;"Save for a later revision"),"",IF(COUNTIF('Deferred edits'!$K$2:$K$201,A1735)&gt;0,"Yes","● Add to Deferred edits"))</f>
        <v/>
      </c>
    </row>
    <row r="1736" customFormat="false" ht="15" hidden="false" customHeight="false" outlineLevel="0" collapsed="false">
      <c r="A1736" s="46" t="s">
        <v>2031</v>
      </c>
      <c r="B1736" s="46"/>
      <c r="C1736" s="46"/>
      <c r="D1736" s="46"/>
      <c r="E1736" s="46"/>
      <c r="F1736" s="46"/>
      <c r="G1736" s="46"/>
      <c r="H1736" s="46"/>
      <c r="I1736" s="46"/>
      <c r="J1736" s="46"/>
      <c r="K1736" s="46"/>
      <c r="L1736" s="46"/>
      <c r="M1736" s="46" t="str">
        <f aca="false">IF(OR(B1736="",I1736=""),"",IFERROR(INDEX('Comment flow'!$C$40:$C$46,MATCH(I1736,'Comment flow'!$A$40:$A$46,0)),""))</f>
        <v/>
      </c>
      <c r="N1736" s="46" t="str">
        <f aca="false">IF(B1736="","",IF(OR(I1736="",I1736="Open: needs a decision",L1736=""),"Open","Closed"))</f>
        <v/>
      </c>
      <c r="O1736" s="46"/>
      <c r="P1736" s="46" t="str">
        <f aca="false">IF(OR(B1736="",I1736&lt;&gt;"Save for a later revision"),"",IF(COUNTIF('Deferred edits'!$K$2:$K$201,A1736)&gt;0,"Yes","● Add to Deferred edits"))</f>
        <v/>
      </c>
    </row>
    <row r="1737" customFormat="false" ht="15" hidden="false" customHeight="false" outlineLevel="0" collapsed="false">
      <c r="A1737" s="46" t="s">
        <v>2032</v>
      </c>
      <c r="B1737" s="46"/>
      <c r="C1737" s="46"/>
      <c r="D1737" s="46"/>
      <c r="E1737" s="46"/>
      <c r="F1737" s="46"/>
      <c r="G1737" s="46"/>
      <c r="H1737" s="46"/>
      <c r="I1737" s="46"/>
      <c r="J1737" s="46"/>
      <c r="K1737" s="46"/>
      <c r="L1737" s="46"/>
      <c r="M1737" s="46" t="str">
        <f aca="false">IF(OR(B1737="",I1737=""),"",IFERROR(INDEX('Comment flow'!$C$40:$C$46,MATCH(I1737,'Comment flow'!$A$40:$A$46,0)),""))</f>
        <v/>
      </c>
      <c r="N1737" s="46" t="str">
        <f aca="false">IF(B1737="","",IF(OR(I1737="",I1737="Open: needs a decision",L1737=""),"Open","Closed"))</f>
        <v/>
      </c>
      <c r="O1737" s="46"/>
      <c r="P1737" s="46" t="str">
        <f aca="false">IF(OR(B1737="",I1737&lt;&gt;"Save for a later revision"),"",IF(COUNTIF('Deferred edits'!$K$2:$K$201,A1737)&gt;0,"Yes","● Add to Deferred edits"))</f>
        <v/>
      </c>
    </row>
    <row r="1738" customFormat="false" ht="15" hidden="false" customHeight="false" outlineLevel="0" collapsed="false">
      <c r="A1738" s="46" t="s">
        <v>2033</v>
      </c>
      <c r="B1738" s="46"/>
      <c r="C1738" s="46"/>
      <c r="D1738" s="46"/>
      <c r="E1738" s="46"/>
      <c r="F1738" s="46"/>
      <c r="G1738" s="46"/>
      <c r="H1738" s="46"/>
      <c r="I1738" s="46"/>
      <c r="J1738" s="46"/>
      <c r="K1738" s="46"/>
      <c r="L1738" s="46"/>
      <c r="M1738" s="46" t="str">
        <f aca="false">IF(OR(B1738="",I1738=""),"",IFERROR(INDEX('Comment flow'!$C$40:$C$46,MATCH(I1738,'Comment flow'!$A$40:$A$46,0)),""))</f>
        <v/>
      </c>
      <c r="N1738" s="46" t="str">
        <f aca="false">IF(B1738="","",IF(OR(I1738="",I1738="Open: needs a decision",L1738=""),"Open","Closed"))</f>
        <v/>
      </c>
      <c r="O1738" s="46"/>
      <c r="P1738" s="46" t="str">
        <f aca="false">IF(OR(B1738="",I1738&lt;&gt;"Save for a later revision"),"",IF(COUNTIF('Deferred edits'!$K$2:$K$201,A1738)&gt;0,"Yes","● Add to Deferred edits"))</f>
        <v/>
      </c>
    </row>
    <row r="1739" customFormat="false" ht="15" hidden="false" customHeight="false" outlineLevel="0" collapsed="false">
      <c r="A1739" s="46" t="s">
        <v>2034</v>
      </c>
      <c r="B1739" s="46"/>
      <c r="C1739" s="46"/>
      <c r="D1739" s="46"/>
      <c r="E1739" s="46"/>
      <c r="F1739" s="46"/>
      <c r="G1739" s="46"/>
      <c r="H1739" s="46"/>
      <c r="I1739" s="46"/>
      <c r="J1739" s="46"/>
      <c r="K1739" s="46"/>
      <c r="L1739" s="46"/>
      <c r="M1739" s="46" t="str">
        <f aca="false">IF(OR(B1739="",I1739=""),"",IFERROR(INDEX('Comment flow'!$C$40:$C$46,MATCH(I1739,'Comment flow'!$A$40:$A$46,0)),""))</f>
        <v/>
      </c>
      <c r="N1739" s="46" t="str">
        <f aca="false">IF(B1739="","",IF(OR(I1739="",I1739="Open: needs a decision",L1739=""),"Open","Closed"))</f>
        <v/>
      </c>
      <c r="O1739" s="46"/>
      <c r="P1739" s="46" t="str">
        <f aca="false">IF(OR(B1739="",I1739&lt;&gt;"Save for a later revision"),"",IF(COUNTIF('Deferred edits'!$K$2:$K$201,A1739)&gt;0,"Yes","● Add to Deferred edits"))</f>
        <v/>
      </c>
    </row>
    <row r="1740" customFormat="false" ht="15" hidden="false" customHeight="false" outlineLevel="0" collapsed="false">
      <c r="A1740" s="46" t="s">
        <v>2035</v>
      </c>
      <c r="B1740" s="46"/>
      <c r="C1740" s="46"/>
      <c r="D1740" s="46"/>
      <c r="E1740" s="46"/>
      <c r="F1740" s="46"/>
      <c r="G1740" s="46"/>
      <c r="H1740" s="46"/>
      <c r="I1740" s="46"/>
      <c r="J1740" s="46"/>
      <c r="K1740" s="46"/>
      <c r="L1740" s="46"/>
      <c r="M1740" s="46" t="str">
        <f aca="false">IF(OR(B1740="",I1740=""),"",IFERROR(INDEX('Comment flow'!$C$40:$C$46,MATCH(I1740,'Comment flow'!$A$40:$A$46,0)),""))</f>
        <v/>
      </c>
      <c r="N1740" s="46" t="str">
        <f aca="false">IF(B1740="","",IF(OR(I1740="",I1740="Open: needs a decision",L1740=""),"Open","Closed"))</f>
        <v/>
      </c>
      <c r="O1740" s="46"/>
      <c r="P1740" s="46" t="str">
        <f aca="false">IF(OR(B1740="",I1740&lt;&gt;"Save for a later revision"),"",IF(COUNTIF('Deferred edits'!$K$2:$K$201,A1740)&gt;0,"Yes","● Add to Deferred edits"))</f>
        <v/>
      </c>
    </row>
    <row r="1741" customFormat="false" ht="15" hidden="false" customHeight="false" outlineLevel="0" collapsed="false">
      <c r="A1741" s="46" t="s">
        <v>2036</v>
      </c>
      <c r="B1741" s="46"/>
      <c r="C1741" s="46"/>
      <c r="D1741" s="46"/>
      <c r="E1741" s="46"/>
      <c r="F1741" s="46"/>
      <c r="G1741" s="46"/>
      <c r="H1741" s="46"/>
      <c r="I1741" s="46"/>
      <c r="J1741" s="46"/>
      <c r="K1741" s="46"/>
      <c r="L1741" s="46"/>
      <c r="M1741" s="46" t="str">
        <f aca="false">IF(OR(B1741="",I1741=""),"",IFERROR(INDEX('Comment flow'!$C$40:$C$46,MATCH(I1741,'Comment flow'!$A$40:$A$46,0)),""))</f>
        <v/>
      </c>
      <c r="N1741" s="46" t="str">
        <f aca="false">IF(B1741="","",IF(OR(I1741="",I1741="Open: needs a decision",L1741=""),"Open","Closed"))</f>
        <v/>
      </c>
      <c r="O1741" s="46"/>
      <c r="P1741" s="46" t="str">
        <f aca="false">IF(OR(B1741="",I1741&lt;&gt;"Save for a later revision"),"",IF(COUNTIF('Deferred edits'!$K$2:$K$201,A1741)&gt;0,"Yes","● Add to Deferred edits"))</f>
        <v/>
      </c>
    </row>
    <row r="1742" customFormat="false" ht="15" hidden="false" customHeight="false" outlineLevel="0" collapsed="false">
      <c r="A1742" s="46" t="s">
        <v>2037</v>
      </c>
      <c r="B1742" s="46"/>
      <c r="C1742" s="46"/>
      <c r="D1742" s="46"/>
      <c r="E1742" s="46"/>
      <c r="F1742" s="46"/>
      <c r="G1742" s="46"/>
      <c r="H1742" s="46"/>
      <c r="I1742" s="46"/>
      <c r="J1742" s="46"/>
      <c r="K1742" s="46"/>
      <c r="L1742" s="46"/>
      <c r="M1742" s="46" t="str">
        <f aca="false">IF(OR(B1742="",I1742=""),"",IFERROR(INDEX('Comment flow'!$C$40:$C$46,MATCH(I1742,'Comment flow'!$A$40:$A$46,0)),""))</f>
        <v/>
      </c>
      <c r="N1742" s="46" t="str">
        <f aca="false">IF(B1742="","",IF(OR(I1742="",I1742="Open: needs a decision",L1742=""),"Open","Closed"))</f>
        <v/>
      </c>
      <c r="O1742" s="46"/>
      <c r="P1742" s="46" t="str">
        <f aca="false">IF(OR(B1742="",I1742&lt;&gt;"Save for a later revision"),"",IF(COUNTIF('Deferred edits'!$K$2:$K$201,A1742)&gt;0,"Yes","● Add to Deferred edits"))</f>
        <v/>
      </c>
    </row>
    <row r="1743" customFormat="false" ht="15" hidden="false" customHeight="false" outlineLevel="0" collapsed="false">
      <c r="A1743" s="46" t="s">
        <v>2038</v>
      </c>
      <c r="B1743" s="46"/>
      <c r="C1743" s="46"/>
      <c r="D1743" s="46"/>
      <c r="E1743" s="46"/>
      <c r="F1743" s="46"/>
      <c r="G1743" s="46"/>
      <c r="H1743" s="46"/>
      <c r="I1743" s="46"/>
      <c r="J1743" s="46"/>
      <c r="K1743" s="46"/>
      <c r="L1743" s="46"/>
      <c r="M1743" s="46" t="str">
        <f aca="false">IF(OR(B1743="",I1743=""),"",IFERROR(INDEX('Comment flow'!$C$40:$C$46,MATCH(I1743,'Comment flow'!$A$40:$A$46,0)),""))</f>
        <v/>
      </c>
      <c r="N1743" s="46" t="str">
        <f aca="false">IF(B1743="","",IF(OR(I1743="",I1743="Open: needs a decision",L1743=""),"Open","Closed"))</f>
        <v/>
      </c>
      <c r="O1743" s="46"/>
      <c r="P1743" s="46" t="str">
        <f aca="false">IF(OR(B1743="",I1743&lt;&gt;"Save for a later revision"),"",IF(COUNTIF('Deferred edits'!$K$2:$K$201,A1743)&gt;0,"Yes","● Add to Deferred edits"))</f>
        <v/>
      </c>
    </row>
    <row r="1744" customFormat="false" ht="15" hidden="false" customHeight="false" outlineLevel="0" collapsed="false">
      <c r="A1744" s="46" t="s">
        <v>2039</v>
      </c>
      <c r="B1744" s="46"/>
      <c r="C1744" s="46"/>
      <c r="D1744" s="46"/>
      <c r="E1744" s="46"/>
      <c r="F1744" s="46"/>
      <c r="G1744" s="46"/>
      <c r="H1744" s="46"/>
      <c r="I1744" s="46"/>
      <c r="J1744" s="46"/>
      <c r="K1744" s="46"/>
      <c r="L1744" s="46"/>
      <c r="M1744" s="46" t="str">
        <f aca="false">IF(OR(B1744="",I1744=""),"",IFERROR(INDEX('Comment flow'!$C$40:$C$46,MATCH(I1744,'Comment flow'!$A$40:$A$46,0)),""))</f>
        <v/>
      </c>
      <c r="N1744" s="46" t="str">
        <f aca="false">IF(B1744="","",IF(OR(I1744="",I1744="Open: needs a decision",L1744=""),"Open","Closed"))</f>
        <v/>
      </c>
      <c r="O1744" s="46"/>
      <c r="P1744" s="46" t="str">
        <f aca="false">IF(OR(B1744="",I1744&lt;&gt;"Save for a later revision"),"",IF(COUNTIF('Deferred edits'!$K$2:$K$201,A1744)&gt;0,"Yes","● Add to Deferred edits"))</f>
        <v/>
      </c>
    </row>
    <row r="1745" customFormat="false" ht="15" hidden="false" customHeight="false" outlineLevel="0" collapsed="false">
      <c r="A1745" s="46" t="s">
        <v>2040</v>
      </c>
      <c r="B1745" s="46"/>
      <c r="C1745" s="46"/>
      <c r="D1745" s="46"/>
      <c r="E1745" s="46"/>
      <c r="F1745" s="46"/>
      <c r="G1745" s="46"/>
      <c r="H1745" s="46"/>
      <c r="I1745" s="46"/>
      <c r="J1745" s="46"/>
      <c r="K1745" s="46"/>
      <c r="L1745" s="46"/>
      <c r="M1745" s="46" t="str">
        <f aca="false">IF(OR(B1745="",I1745=""),"",IFERROR(INDEX('Comment flow'!$C$40:$C$46,MATCH(I1745,'Comment flow'!$A$40:$A$46,0)),""))</f>
        <v/>
      </c>
      <c r="N1745" s="46" t="str">
        <f aca="false">IF(B1745="","",IF(OR(I1745="",I1745="Open: needs a decision",L1745=""),"Open","Closed"))</f>
        <v/>
      </c>
      <c r="O1745" s="46"/>
      <c r="P1745" s="46" t="str">
        <f aca="false">IF(OR(B1745="",I1745&lt;&gt;"Save for a later revision"),"",IF(COUNTIF('Deferred edits'!$K$2:$K$201,A1745)&gt;0,"Yes","● Add to Deferred edits"))</f>
        <v/>
      </c>
    </row>
    <row r="1746" customFormat="false" ht="15" hidden="false" customHeight="false" outlineLevel="0" collapsed="false">
      <c r="A1746" s="46" t="s">
        <v>2041</v>
      </c>
      <c r="B1746" s="46"/>
      <c r="C1746" s="46"/>
      <c r="D1746" s="46"/>
      <c r="E1746" s="46"/>
      <c r="F1746" s="46"/>
      <c r="G1746" s="46"/>
      <c r="H1746" s="46"/>
      <c r="I1746" s="46"/>
      <c r="J1746" s="46"/>
      <c r="K1746" s="46"/>
      <c r="L1746" s="46"/>
      <c r="M1746" s="46" t="str">
        <f aca="false">IF(OR(B1746="",I1746=""),"",IFERROR(INDEX('Comment flow'!$C$40:$C$46,MATCH(I1746,'Comment flow'!$A$40:$A$46,0)),""))</f>
        <v/>
      </c>
      <c r="N1746" s="46" t="str">
        <f aca="false">IF(B1746="","",IF(OR(I1746="",I1746="Open: needs a decision",L1746=""),"Open","Closed"))</f>
        <v/>
      </c>
      <c r="O1746" s="46"/>
      <c r="P1746" s="46" t="str">
        <f aca="false">IF(OR(B1746="",I1746&lt;&gt;"Save for a later revision"),"",IF(COUNTIF('Deferred edits'!$K$2:$K$201,A1746)&gt;0,"Yes","● Add to Deferred edits"))</f>
        <v/>
      </c>
    </row>
    <row r="1747" customFormat="false" ht="15" hidden="false" customHeight="false" outlineLevel="0" collapsed="false">
      <c r="A1747" s="46" t="s">
        <v>2042</v>
      </c>
      <c r="B1747" s="46"/>
      <c r="C1747" s="46"/>
      <c r="D1747" s="46"/>
      <c r="E1747" s="46"/>
      <c r="F1747" s="46"/>
      <c r="G1747" s="46"/>
      <c r="H1747" s="46"/>
      <c r="I1747" s="46"/>
      <c r="J1747" s="46"/>
      <c r="K1747" s="46"/>
      <c r="L1747" s="46"/>
      <c r="M1747" s="46" t="str">
        <f aca="false">IF(OR(B1747="",I1747=""),"",IFERROR(INDEX('Comment flow'!$C$40:$C$46,MATCH(I1747,'Comment flow'!$A$40:$A$46,0)),""))</f>
        <v/>
      </c>
      <c r="N1747" s="46" t="str">
        <f aca="false">IF(B1747="","",IF(OR(I1747="",I1747="Open: needs a decision",L1747=""),"Open","Closed"))</f>
        <v/>
      </c>
      <c r="O1747" s="46"/>
      <c r="P1747" s="46" t="str">
        <f aca="false">IF(OR(B1747="",I1747&lt;&gt;"Save for a later revision"),"",IF(COUNTIF('Deferred edits'!$K$2:$K$201,A1747)&gt;0,"Yes","● Add to Deferred edits"))</f>
        <v/>
      </c>
    </row>
    <row r="1748" customFormat="false" ht="15" hidden="false" customHeight="false" outlineLevel="0" collapsed="false">
      <c r="A1748" s="46" t="s">
        <v>2043</v>
      </c>
      <c r="B1748" s="46"/>
      <c r="C1748" s="46"/>
      <c r="D1748" s="46"/>
      <c r="E1748" s="46"/>
      <c r="F1748" s="46"/>
      <c r="G1748" s="46"/>
      <c r="H1748" s="46"/>
      <c r="I1748" s="46"/>
      <c r="J1748" s="46"/>
      <c r="K1748" s="46"/>
      <c r="L1748" s="46"/>
      <c r="M1748" s="46" t="str">
        <f aca="false">IF(OR(B1748="",I1748=""),"",IFERROR(INDEX('Comment flow'!$C$40:$C$46,MATCH(I1748,'Comment flow'!$A$40:$A$46,0)),""))</f>
        <v/>
      </c>
      <c r="N1748" s="46" t="str">
        <f aca="false">IF(B1748="","",IF(OR(I1748="",I1748="Open: needs a decision",L1748=""),"Open","Closed"))</f>
        <v/>
      </c>
      <c r="O1748" s="46"/>
      <c r="P1748" s="46" t="str">
        <f aca="false">IF(OR(B1748="",I1748&lt;&gt;"Save for a later revision"),"",IF(COUNTIF('Deferred edits'!$K$2:$K$201,A1748)&gt;0,"Yes","● Add to Deferred edits"))</f>
        <v/>
      </c>
    </row>
    <row r="1749" customFormat="false" ht="15" hidden="false" customHeight="false" outlineLevel="0" collapsed="false">
      <c r="A1749" s="46" t="s">
        <v>2044</v>
      </c>
      <c r="B1749" s="46"/>
      <c r="C1749" s="46"/>
      <c r="D1749" s="46"/>
      <c r="E1749" s="46"/>
      <c r="F1749" s="46"/>
      <c r="G1749" s="46"/>
      <c r="H1749" s="46"/>
      <c r="I1749" s="46"/>
      <c r="J1749" s="46"/>
      <c r="K1749" s="46"/>
      <c r="L1749" s="46"/>
      <c r="M1749" s="46" t="str">
        <f aca="false">IF(OR(B1749="",I1749=""),"",IFERROR(INDEX('Comment flow'!$C$40:$C$46,MATCH(I1749,'Comment flow'!$A$40:$A$46,0)),""))</f>
        <v/>
      </c>
      <c r="N1749" s="46" t="str">
        <f aca="false">IF(B1749="","",IF(OR(I1749="",I1749="Open: needs a decision",L1749=""),"Open","Closed"))</f>
        <v/>
      </c>
      <c r="O1749" s="46"/>
      <c r="P1749" s="46" t="str">
        <f aca="false">IF(OR(B1749="",I1749&lt;&gt;"Save for a later revision"),"",IF(COUNTIF('Deferred edits'!$K$2:$K$201,A1749)&gt;0,"Yes","● Add to Deferred edits"))</f>
        <v/>
      </c>
    </row>
    <row r="1750" customFormat="false" ht="15" hidden="false" customHeight="false" outlineLevel="0" collapsed="false">
      <c r="A1750" s="46" t="s">
        <v>2045</v>
      </c>
      <c r="B1750" s="46"/>
      <c r="C1750" s="46"/>
      <c r="D1750" s="46"/>
      <c r="E1750" s="46"/>
      <c r="F1750" s="46"/>
      <c r="G1750" s="46"/>
      <c r="H1750" s="46"/>
      <c r="I1750" s="46"/>
      <c r="J1750" s="46"/>
      <c r="K1750" s="46"/>
      <c r="L1750" s="46"/>
      <c r="M1750" s="46" t="str">
        <f aca="false">IF(OR(B1750="",I1750=""),"",IFERROR(INDEX('Comment flow'!$C$40:$C$46,MATCH(I1750,'Comment flow'!$A$40:$A$46,0)),""))</f>
        <v/>
      </c>
      <c r="N1750" s="46" t="str">
        <f aca="false">IF(B1750="","",IF(OR(I1750="",I1750="Open: needs a decision",L1750=""),"Open","Closed"))</f>
        <v/>
      </c>
      <c r="O1750" s="46"/>
      <c r="P1750" s="46" t="str">
        <f aca="false">IF(OR(B1750="",I1750&lt;&gt;"Save for a later revision"),"",IF(COUNTIF('Deferred edits'!$K$2:$K$201,A1750)&gt;0,"Yes","● Add to Deferred edits"))</f>
        <v/>
      </c>
    </row>
    <row r="1751" customFormat="false" ht="15" hidden="false" customHeight="false" outlineLevel="0" collapsed="false">
      <c r="A1751" s="46" t="s">
        <v>2046</v>
      </c>
      <c r="B1751" s="46"/>
      <c r="C1751" s="46"/>
      <c r="D1751" s="46"/>
      <c r="E1751" s="46"/>
      <c r="F1751" s="46"/>
      <c r="G1751" s="46"/>
      <c r="H1751" s="46"/>
      <c r="I1751" s="46"/>
      <c r="J1751" s="46"/>
      <c r="K1751" s="46"/>
      <c r="L1751" s="46"/>
      <c r="M1751" s="46" t="str">
        <f aca="false">IF(OR(B1751="",I1751=""),"",IFERROR(INDEX('Comment flow'!$C$40:$C$46,MATCH(I1751,'Comment flow'!$A$40:$A$46,0)),""))</f>
        <v/>
      </c>
      <c r="N1751" s="46" t="str">
        <f aca="false">IF(B1751="","",IF(OR(I1751="",I1751="Open: needs a decision",L1751=""),"Open","Closed"))</f>
        <v/>
      </c>
      <c r="O1751" s="46"/>
      <c r="P1751" s="46" t="str">
        <f aca="false">IF(OR(B1751="",I1751&lt;&gt;"Save for a later revision"),"",IF(COUNTIF('Deferred edits'!$K$2:$K$201,A1751)&gt;0,"Yes","● Add to Deferred edits"))</f>
        <v/>
      </c>
    </row>
    <row r="1752" customFormat="false" ht="15" hidden="false" customHeight="false" outlineLevel="0" collapsed="false">
      <c r="A1752" s="46" t="s">
        <v>2047</v>
      </c>
      <c r="B1752" s="46"/>
      <c r="C1752" s="46"/>
      <c r="D1752" s="46"/>
      <c r="E1752" s="46"/>
      <c r="F1752" s="46"/>
      <c r="G1752" s="46"/>
      <c r="H1752" s="46"/>
      <c r="I1752" s="46"/>
      <c r="J1752" s="46"/>
      <c r="K1752" s="46"/>
      <c r="L1752" s="46"/>
      <c r="M1752" s="46" t="str">
        <f aca="false">IF(OR(B1752="",I1752=""),"",IFERROR(INDEX('Comment flow'!$C$40:$C$46,MATCH(I1752,'Comment flow'!$A$40:$A$46,0)),""))</f>
        <v/>
      </c>
      <c r="N1752" s="46" t="str">
        <f aca="false">IF(B1752="","",IF(OR(I1752="",I1752="Open: needs a decision",L1752=""),"Open","Closed"))</f>
        <v/>
      </c>
      <c r="O1752" s="46"/>
      <c r="P1752" s="46" t="str">
        <f aca="false">IF(OR(B1752="",I1752&lt;&gt;"Save for a later revision"),"",IF(COUNTIF('Deferred edits'!$K$2:$K$201,A1752)&gt;0,"Yes","● Add to Deferred edits"))</f>
        <v/>
      </c>
    </row>
    <row r="1753" customFormat="false" ht="15" hidden="false" customHeight="false" outlineLevel="0" collapsed="false">
      <c r="A1753" s="46" t="s">
        <v>2048</v>
      </c>
      <c r="B1753" s="46"/>
      <c r="C1753" s="46"/>
      <c r="D1753" s="46"/>
      <c r="E1753" s="46"/>
      <c r="F1753" s="46"/>
      <c r="G1753" s="46"/>
      <c r="H1753" s="46"/>
      <c r="I1753" s="46"/>
      <c r="J1753" s="46"/>
      <c r="K1753" s="46"/>
      <c r="L1753" s="46"/>
      <c r="M1753" s="46" t="str">
        <f aca="false">IF(OR(B1753="",I1753=""),"",IFERROR(INDEX('Comment flow'!$C$40:$C$46,MATCH(I1753,'Comment flow'!$A$40:$A$46,0)),""))</f>
        <v/>
      </c>
      <c r="N1753" s="46" t="str">
        <f aca="false">IF(B1753="","",IF(OR(I1753="",I1753="Open: needs a decision",L1753=""),"Open","Closed"))</f>
        <v/>
      </c>
      <c r="O1753" s="46"/>
      <c r="P1753" s="46" t="str">
        <f aca="false">IF(OR(B1753="",I1753&lt;&gt;"Save for a later revision"),"",IF(COUNTIF('Deferred edits'!$K$2:$K$201,A1753)&gt;0,"Yes","● Add to Deferred edits"))</f>
        <v/>
      </c>
    </row>
    <row r="1754" customFormat="false" ht="15" hidden="false" customHeight="false" outlineLevel="0" collapsed="false">
      <c r="A1754" s="46" t="s">
        <v>2049</v>
      </c>
      <c r="B1754" s="46"/>
      <c r="C1754" s="46"/>
      <c r="D1754" s="46"/>
      <c r="E1754" s="46"/>
      <c r="F1754" s="46"/>
      <c r="G1754" s="46"/>
      <c r="H1754" s="46"/>
      <c r="I1754" s="46"/>
      <c r="J1754" s="46"/>
      <c r="K1754" s="46"/>
      <c r="L1754" s="46"/>
      <c r="M1754" s="46" t="str">
        <f aca="false">IF(OR(B1754="",I1754=""),"",IFERROR(INDEX('Comment flow'!$C$40:$C$46,MATCH(I1754,'Comment flow'!$A$40:$A$46,0)),""))</f>
        <v/>
      </c>
      <c r="N1754" s="46" t="str">
        <f aca="false">IF(B1754="","",IF(OR(I1754="",I1754="Open: needs a decision",L1754=""),"Open","Closed"))</f>
        <v/>
      </c>
      <c r="O1754" s="46"/>
      <c r="P1754" s="46" t="str">
        <f aca="false">IF(OR(B1754="",I1754&lt;&gt;"Save for a later revision"),"",IF(COUNTIF('Deferred edits'!$K$2:$K$201,A1754)&gt;0,"Yes","● Add to Deferred edits"))</f>
        <v/>
      </c>
    </row>
    <row r="1755" customFormat="false" ht="15" hidden="false" customHeight="false" outlineLevel="0" collapsed="false">
      <c r="A1755" s="46" t="s">
        <v>2050</v>
      </c>
      <c r="B1755" s="46"/>
      <c r="C1755" s="46"/>
      <c r="D1755" s="46"/>
      <c r="E1755" s="46"/>
      <c r="F1755" s="46"/>
      <c r="G1755" s="46"/>
      <c r="H1755" s="46"/>
      <c r="I1755" s="46"/>
      <c r="J1755" s="46"/>
      <c r="K1755" s="46"/>
      <c r="L1755" s="46"/>
      <c r="M1755" s="46" t="str">
        <f aca="false">IF(OR(B1755="",I1755=""),"",IFERROR(INDEX('Comment flow'!$C$40:$C$46,MATCH(I1755,'Comment flow'!$A$40:$A$46,0)),""))</f>
        <v/>
      </c>
      <c r="N1755" s="46" t="str">
        <f aca="false">IF(B1755="","",IF(OR(I1755="",I1755="Open: needs a decision",L1755=""),"Open","Closed"))</f>
        <v/>
      </c>
      <c r="O1755" s="46"/>
      <c r="P1755" s="46" t="str">
        <f aca="false">IF(OR(B1755="",I1755&lt;&gt;"Save for a later revision"),"",IF(COUNTIF('Deferred edits'!$K$2:$K$201,A1755)&gt;0,"Yes","● Add to Deferred edits"))</f>
        <v/>
      </c>
    </row>
    <row r="1756" customFormat="false" ht="15" hidden="false" customHeight="false" outlineLevel="0" collapsed="false">
      <c r="A1756" s="46" t="s">
        <v>2051</v>
      </c>
      <c r="B1756" s="46"/>
      <c r="C1756" s="46"/>
      <c r="D1756" s="46"/>
      <c r="E1756" s="46"/>
      <c r="F1756" s="46"/>
      <c r="G1756" s="46"/>
      <c r="H1756" s="46"/>
      <c r="I1756" s="46"/>
      <c r="J1756" s="46"/>
      <c r="K1756" s="46"/>
      <c r="L1756" s="46"/>
      <c r="M1756" s="46" t="str">
        <f aca="false">IF(OR(B1756="",I1756=""),"",IFERROR(INDEX('Comment flow'!$C$40:$C$46,MATCH(I1756,'Comment flow'!$A$40:$A$46,0)),""))</f>
        <v/>
      </c>
      <c r="N1756" s="46" t="str">
        <f aca="false">IF(B1756="","",IF(OR(I1756="",I1756="Open: needs a decision",L1756=""),"Open","Closed"))</f>
        <v/>
      </c>
      <c r="O1756" s="46"/>
      <c r="P1756" s="46" t="str">
        <f aca="false">IF(OR(B1756="",I1756&lt;&gt;"Save for a later revision"),"",IF(COUNTIF('Deferred edits'!$K$2:$K$201,A1756)&gt;0,"Yes","● Add to Deferred edits"))</f>
        <v/>
      </c>
    </row>
    <row r="1757" customFormat="false" ht="15" hidden="false" customHeight="false" outlineLevel="0" collapsed="false">
      <c r="A1757" s="46" t="s">
        <v>2052</v>
      </c>
      <c r="B1757" s="46"/>
      <c r="C1757" s="46"/>
      <c r="D1757" s="46"/>
      <c r="E1757" s="46"/>
      <c r="F1757" s="46"/>
      <c r="G1757" s="46"/>
      <c r="H1757" s="46"/>
      <c r="I1757" s="46"/>
      <c r="J1757" s="46"/>
      <c r="K1757" s="46"/>
      <c r="L1757" s="46"/>
      <c r="M1757" s="46" t="str">
        <f aca="false">IF(OR(B1757="",I1757=""),"",IFERROR(INDEX('Comment flow'!$C$40:$C$46,MATCH(I1757,'Comment flow'!$A$40:$A$46,0)),""))</f>
        <v/>
      </c>
      <c r="N1757" s="46" t="str">
        <f aca="false">IF(B1757="","",IF(OR(I1757="",I1757="Open: needs a decision",L1757=""),"Open","Closed"))</f>
        <v/>
      </c>
      <c r="O1757" s="46"/>
      <c r="P1757" s="46" t="str">
        <f aca="false">IF(OR(B1757="",I1757&lt;&gt;"Save for a later revision"),"",IF(COUNTIF('Deferred edits'!$K$2:$K$201,A1757)&gt;0,"Yes","● Add to Deferred edits"))</f>
        <v/>
      </c>
    </row>
    <row r="1758" customFormat="false" ht="15" hidden="false" customHeight="false" outlineLevel="0" collapsed="false">
      <c r="A1758" s="46" t="s">
        <v>2053</v>
      </c>
      <c r="B1758" s="46"/>
      <c r="C1758" s="46"/>
      <c r="D1758" s="46"/>
      <c r="E1758" s="46"/>
      <c r="F1758" s="46"/>
      <c r="G1758" s="46"/>
      <c r="H1758" s="46"/>
      <c r="I1758" s="46"/>
      <c r="J1758" s="46"/>
      <c r="K1758" s="46"/>
      <c r="L1758" s="46"/>
      <c r="M1758" s="46" t="str">
        <f aca="false">IF(OR(B1758="",I1758=""),"",IFERROR(INDEX('Comment flow'!$C$40:$C$46,MATCH(I1758,'Comment flow'!$A$40:$A$46,0)),""))</f>
        <v/>
      </c>
      <c r="N1758" s="46" t="str">
        <f aca="false">IF(B1758="","",IF(OR(I1758="",I1758="Open: needs a decision",L1758=""),"Open","Closed"))</f>
        <v/>
      </c>
      <c r="O1758" s="46"/>
      <c r="P1758" s="46" t="str">
        <f aca="false">IF(OR(B1758="",I1758&lt;&gt;"Save for a later revision"),"",IF(COUNTIF('Deferred edits'!$K$2:$K$201,A1758)&gt;0,"Yes","● Add to Deferred edits"))</f>
        <v/>
      </c>
    </row>
    <row r="1759" customFormat="false" ht="15" hidden="false" customHeight="false" outlineLevel="0" collapsed="false">
      <c r="A1759" s="46" t="s">
        <v>2054</v>
      </c>
      <c r="B1759" s="46"/>
      <c r="C1759" s="46"/>
      <c r="D1759" s="46"/>
      <c r="E1759" s="46"/>
      <c r="F1759" s="46"/>
      <c r="G1759" s="46"/>
      <c r="H1759" s="46"/>
      <c r="I1759" s="46"/>
      <c r="J1759" s="46"/>
      <c r="K1759" s="46"/>
      <c r="L1759" s="46"/>
      <c r="M1759" s="46" t="str">
        <f aca="false">IF(OR(B1759="",I1759=""),"",IFERROR(INDEX('Comment flow'!$C$40:$C$46,MATCH(I1759,'Comment flow'!$A$40:$A$46,0)),""))</f>
        <v/>
      </c>
      <c r="N1759" s="46" t="str">
        <f aca="false">IF(B1759="","",IF(OR(I1759="",I1759="Open: needs a decision",L1759=""),"Open","Closed"))</f>
        <v/>
      </c>
      <c r="O1759" s="46"/>
      <c r="P1759" s="46" t="str">
        <f aca="false">IF(OR(B1759="",I1759&lt;&gt;"Save for a later revision"),"",IF(COUNTIF('Deferred edits'!$K$2:$K$201,A1759)&gt;0,"Yes","● Add to Deferred edits"))</f>
        <v/>
      </c>
    </row>
    <row r="1760" customFormat="false" ht="15" hidden="false" customHeight="false" outlineLevel="0" collapsed="false">
      <c r="A1760" s="46" t="s">
        <v>2055</v>
      </c>
      <c r="B1760" s="46"/>
      <c r="C1760" s="46"/>
      <c r="D1760" s="46"/>
      <c r="E1760" s="46"/>
      <c r="F1760" s="46"/>
      <c r="G1760" s="46"/>
      <c r="H1760" s="46"/>
      <c r="I1760" s="46"/>
      <c r="J1760" s="46"/>
      <c r="K1760" s="46"/>
      <c r="L1760" s="46"/>
      <c r="M1760" s="46" t="str">
        <f aca="false">IF(OR(B1760="",I1760=""),"",IFERROR(INDEX('Comment flow'!$C$40:$C$46,MATCH(I1760,'Comment flow'!$A$40:$A$46,0)),""))</f>
        <v/>
      </c>
      <c r="N1760" s="46" t="str">
        <f aca="false">IF(B1760="","",IF(OR(I1760="",I1760="Open: needs a decision",L1760=""),"Open","Closed"))</f>
        <v/>
      </c>
      <c r="O1760" s="46"/>
      <c r="P1760" s="46" t="str">
        <f aca="false">IF(OR(B1760="",I1760&lt;&gt;"Save for a later revision"),"",IF(COUNTIF('Deferred edits'!$K$2:$K$201,A1760)&gt;0,"Yes","● Add to Deferred edits"))</f>
        <v/>
      </c>
    </row>
    <row r="1761" customFormat="false" ht="15" hidden="false" customHeight="false" outlineLevel="0" collapsed="false">
      <c r="A1761" s="46" t="s">
        <v>2056</v>
      </c>
      <c r="B1761" s="46"/>
      <c r="C1761" s="46"/>
      <c r="D1761" s="46"/>
      <c r="E1761" s="46"/>
      <c r="F1761" s="46"/>
      <c r="G1761" s="46"/>
      <c r="H1761" s="46"/>
      <c r="I1761" s="46"/>
      <c r="J1761" s="46"/>
      <c r="K1761" s="46"/>
      <c r="L1761" s="46"/>
      <c r="M1761" s="46" t="str">
        <f aca="false">IF(OR(B1761="",I1761=""),"",IFERROR(INDEX('Comment flow'!$C$40:$C$46,MATCH(I1761,'Comment flow'!$A$40:$A$46,0)),""))</f>
        <v/>
      </c>
      <c r="N1761" s="46" t="str">
        <f aca="false">IF(B1761="","",IF(OR(I1761="",I1761="Open: needs a decision",L1761=""),"Open","Closed"))</f>
        <v/>
      </c>
      <c r="O1761" s="46"/>
      <c r="P1761" s="46" t="str">
        <f aca="false">IF(OR(B1761="",I1761&lt;&gt;"Save for a later revision"),"",IF(COUNTIF('Deferred edits'!$K$2:$K$201,A1761)&gt;0,"Yes","● Add to Deferred edits"))</f>
        <v/>
      </c>
    </row>
    <row r="1762" customFormat="false" ht="15" hidden="false" customHeight="false" outlineLevel="0" collapsed="false">
      <c r="A1762" s="46" t="s">
        <v>2057</v>
      </c>
      <c r="B1762" s="46"/>
      <c r="C1762" s="46"/>
      <c r="D1762" s="46"/>
      <c r="E1762" s="46"/>
      <c r="F1762" s="46"/>
      <c r="G1762" s="46"/>
      <c r="H1762" s="46"/>
      <c r="I1762" s="46"/>
      <c r="J1762" s="46"/>
      <c r="K1762" s="46"/>
      <c r="L1762" s="46"/>
      <c r="M1762" s="46" t="str">
        <f aca="false">IF(OR(B1762="",I1762=""),"",IFERROR(INDEX('Comment flow'!$C$40:$C$46,MATCH(I1762,'Comment flow'!$A$40:$A$46,0)),""))</f>
        <v/>
      </c>
      <c r="N1762" s="46" t="str">
        <f aca="false">IF(B1762="","",IF(OR(I1762="",I1762="Open: needs a decision",L1762=""),"Open","Closed"))</f>
        <v/>
      </c>
      <c r="O1762" s="46"/>
      <c r="P1762" s="46" t="str">
        <f aca="false">IF(OR(B1762="",I1762&lt;&gt;"Save for a later revision"),"",IF(COUNTIF('Deferred edits'!$K$2:$K$201,A1762)&gt;0,"Yes","● Add to Deferred edits"))</f>
        <v/>
      </c>
    </row>
    <row r="1763" customFormat="false" ht="15" hidden="false" customHeight="false" outlineLevel="0" collapsed="false">
      <c r="A1763" s="46" t="s">
        <v>2058</v>
      </c>
      <c r="B1763" s="46"/>
      <c r="C1763" s="46"/>
      <c r="D1763" s="46"/>
      <c r="E1763" s="46"/>
      <c r="F1763" s="46"/>
      <c r="G1763" s="46"/>
      <c r="H1763" s="46"/>
      <c r="I1763" s="46"/>
      <c r="J1763" s="46"/>
      <c r="K1763" s="46"/>
      <c r="L1763" s="46"/>
      <c r="M1763" s="46" t="str">
        <f aca="false">IF(OR(B1763="",I1763=""),"",IFERROR(INDEX('Comment flow'!$C$40:$C$46,MATCH(I1763,'Comment flow'!$A$40:$A$46,0)),""))</f>
        <v/>
      </c>
      <c r="N1763" s="46" t="str">
        <f aca="false">IF(B1763="","",IF(OR(I1763="",I1763="Open: needs a decision",L1763=""),"Open","Closed"))</f>
        <v/>
      </c>
      <c r="O1763" s="46"/>
      <c r="P1763" s="46" t="str">
        <f aca="false">IF(OR(B1763="",I1763&lt;&gt;"Save for a later revision"),"",IF(COUNTIF('Deferred edits'!$K$2:$K$201,A1763)&gt;0,"Yes","● Add to Deferred edits"))</f>
        <v/>
      </c>
    </row>
    <row r="1764" customFormat="false" ht="15" hidden="false" customHeight="false" outlineLevel="0" collapsed="false">
      <c r="A1764" s="46" t="s">
        <v>2059</v>
      </c>
      <c r="B1764" s="46"/>
      <c r="C1764" s="46"/>
      <c r="D1764" s="46"/>
      <c r="E1764" s="46"/>
      <c r="F1764" s="46"/>
      <c r="G1764" s="46"/>
      <c r="H1764" s="46"/>
      <c r="I1764" s="46"/>
      <c r="J1764" s="46"/>
      <c r="K1764" s="46"/>
      <c r="L1764" s="46"/>
      <c r="M1764" s="46" t="str">
        <f aca="false">IF(OR(B1764="",I1764=""),"",IFERROR(INDEX('Comment flow'!$C$40:$C$46,MATCH(I1764,'Comment flow'!$A$40:$A$46,0)),""))</f>
        <v/>
      </c>
      <c r="N1764" s="46" t="str">
        <f aca="false">IF(B1764="","",IF(OR(I1764="",I1764="Open: needs a decision",L1764=""),"Open","Closed"))</f>
        <v/>
      </c>
      <c r="O1764" s="46"/>
      <c r="P1764" s="46" t="str">
        <f aca="false">IF(OR(B1764="",I1764&lt;&gt;"Save for a later revision"),"",IF(COUNTIF('Deferred edits'!$K$2:$K$201,A1764)&gt;0,"Yes","● Add to Deferred edits"))</f>
        <v/>
      </c>
    </row>
    <row r="1765" customFormat="false" ht="15" hidden="false" customHeight="false" outlineLevel="0" collapsed="false">
      <c r="A1765" s="46" t="s">
        <v>2060</v>
      </c>
      <c r="B1765" s="46"/>
      <c r="C1765" s="46"/>
      <c r="D1765" s="46"/>
      <c r="E1765" s="46"/>
      <c r="F1765" s="46"/>
      <c r="G1765" s="46"/>
      <c r="H1765" s="46"/>
      <c r="I1765" s="46"/>
      <c r="J1765" s="46"/>
      <c r="K1765" s="46"/>
      <c r="L1765" s="46"/>
      <c r="M1765" s="46" t="str">
        <f aca="false">IF(OR(B1765="",I1765=""),"",IFERROR(INDEX('Comment flow'!$C$40:$C$46,MATCH(I1765,'Comment flow'!$A$40:$A$46,0)),""))</f>
        <v/>
      </c>
      <c r="N1765" s="46" t="str">
        <f aca="false">IF(B1765="","",IF(OR(I1765="",I1765="Open: needs a decision",L1765=""),"Open","Closed"))</f>
        <v/>
      </c>
      <c r="O1765" s="46"/>
      <c r="P1765" s="46" t="str">
        <f aca="false">IF(OR(B1765="",I1765&lt;&gt;"Save for a later revision"),"",IF(COUNTIF('Deferred edits'!$K$2:$K$201,A1765)&gt;0,"Yes","● Add to Deferred edits"))</f>
        <v/>
      </c>
    </row>
    <row r="1766" customFormat="false" ht="15" hidden="false" customHeight="false" outlineLevel="0" collapsed="false">
      <c r="A1766" s="46" t="s">
        <v>2061</v>
      </c>
      <c r="B1766" s="46"/>
      <c r="C1766" s="46"/>
      <c r="D1766" s="46"/>
      <c r="E1766" s="46"/>
      <c r="F1766" s="46"/>
      <c r="G1766" s="46"/>
      <c r="H1766" s="46"/>
      <c r="I1766" s="46"/>
      <c r="J1766" s="46"/>
      <c r="K1766" s="46"/>
      <c r="L1766" s="46"/>
      <c r="M1766" s="46" t="str">
        <f aca="false">IF(OR(B1766="",I1766=""),"",IFERROR(INDEX('Comment flow'!$C$40:$C$46,MATCH(I1766,'Comment flow'!$A$40:$A$46,0)),""))</f>
        <v/>
      </c>
      <c r="N1766" s="46" t="str">
        <f aca="false">IF(B1766="","",IF(OR(I1766="",I1766="Open: needs a decision",L1766=""),"Open","Closed"))</f>
        <v/>
      </c>
      <c r="O1766" s="46"/>
      <c r="P1766" s="46" t="str">
        <f aca="false">IF(OR(B1766="",I1766&lt;&gt;"Save for a later revision"),"",IF(COUNTIF('Deferred edits'!$K$2:$K$201,A1766)&gt;0,"Yes","● Add to Deferred edits"))</f>
        <v/>
      </c>
    </row>
    <row r="1767" customFormat="false" ht="15" hidden="false" customHeight="false" outlineLevel="0" collapsed="false">
      <c r="A1767" s="46" t="s">
        <v>2062</v>
      </c>
      <c r="B1767" s="46"/>
      <c r="C1767" s="46"/>
      <c r="D1767" s="46"/>
      <c r="E1767" s="46"/>
      <c r="F1767" s="46"/>
      <c r="G1767" s="46"/>
      <c r="H1767" s="46"/>
      <c r="I1767" s="46"/>
      <c r="J1767" s="46"/>
      <c r="K1767" s="46"/>
      <c r="L1767" s="46"/>
      <c r="M1767" s="46" t="str">
        <f aca="false">IF(OR(B1767="",I1767=""),"",IFERROR(INDEX('Comment flow'!$C$40:$C$46,MATCH(I1767,'Comment flow'!$A$40:$A$46,0)),""))</f>
        <v/>
      </c>
      <c r="N1767" s="46" t="str">
        <f aca="false">IF(B1767="","",IF(OR(I1767="",I1767="Open: needs a decision",L1767=""),"Open","Closed"))</f>
        <v/>
      </c>
      <c r="O1767" s="46"/>
      <c r="P1767" s="46" t="str">
        <f aca="false">IF(OR(B1767="",I1767&lt;&gt;"Save for a later revision"),"",IF(COUNTIF('Deferred edits'!$K$2:$K$201,A1767)&gt;0,"Yes","● Add to Deferred edits"))</f>
        <v/>
      </c>
    </row>
    <row r="1768" customFormat="false" ht="15" hidden="false" customHeight="false" outlineLevel="0" collapsed="false">
      <c r="A1768" s="46" t="s">
        <v>2063</v>
      </c>
      <c r="B1768" s="46"/>
      <c r="C1768" s="46"/>
      <c r="D1768" s="46"/>
      <c r="E1768" s="46"/>
      <c r="F1768" s="46"/>
      <c r="G1768" s="46"/>
      <c r="H1768" s="46"/>
      <c r="I1768" s="46"/>
      <c r="J1768" s="46"/>
      <c r="K1768" s="46"/>
      <c r="L1768" s="46"/>
      <c r="M1768" s="46" t="str">
        <f aca="false">IF(OR(B1768="",I1768=""),"",IFERROR(INDEX('Comment flow'!$C$40:$C$46,MATCH(I1768,'Comment flow'!$A$40:$A$46,0)),""))</f>
        <v/>
      </c>
      <c r="N1768" s="46" t="str">
        <f aca="false">IF(B1768="","",IF(OR(I1768="",I1768="Open: needs a decision",L1768=""),"Open","Closed"))</f>
        <v/>
      </c>
      <c r="O1768" s="46"/>
      <c r="P1768" s="46" t="str">
        <f aca="false">IF(OR(B1768="",I1768&lt;&gt;"Save for a later revision"),"",IF(COUNTIF('Deferred edits'!$K$2:$K$201,A1768)&gt;0,"Yes","● Add to Deferred edits"))</f>
        <v/>
      </c>
    </row>
    <row r="1769" customFormat="false" ht="15" hidden="false" customHeight="false" outlineLevel="0" collapsed="false">
      <c r="A1769" s="46" t="s">
        <v>2064</v>
      </c>
      <c r="B1769" s="46"/>
      <c r="C1769" s="46"/>
      <c r="D1769" s="46"/>
      <c r="E1769" s="46"/>
      <c r="F1769" s="46"/>
      <c r="G1769" s="46"/>
      <c r="H1769" s="46"/>
      <c r="I1769" s="46"/>
      <c r="J1769" s="46"/>
      <c r="K1769" s="46"/>
      <c r="L1769" s="46"/>
      <c r="M1769" s="46" t="str">
        <f aca="false">IF(OR(B1769="",I1769=""),"",IFERROR(INDEX('Comment flow'!$C$40:$C$46,MATCH(I1769,'Comment flow'!$A$40:$A$46,0)),""))</f>
        <v/>
      </c>
      <c r="N1769" s="46" t="str">
        <f aca="false">IF(B1769="","",IF(OR(I1769="",I1769="Open: needs a decision",L1769=""),"Open","Closed"))</f>
        <v/>
      </c>
      <c r="O1769" s="46"/>
      <c r="P1769" s="46" t="str">
        <f aca="false">IF(OR(B1769="",I1769&lt;&gt;"Save for a later revision"),"",IF(COUNTIF('Deferred edits'!$K$2:$K$201,A1769)&gt;0,"Yes","● Add to Deferred edits"))</f>
        <v/>
      </c>
    </row>
    <row r="1770" customFormat="false" ht="15" hidden="false" customHeight="false" outlineLevel="0" collapsed="false">
      <c r="A1770" s="46" t="s">
        <v>2065</v>
      </c>
      <c r="B1770" s="46"/>
      <c r="C1770" s="46"/>
      <c r="D1770" s="46"/>
      <c r="E1770" s="46"/>
      <c r="F1770" s="46"/>
      <c r="G1770" s="46"/>
      <c r="H1770" s="46"/>
      <c r="I1770" s="46"/>
      <c r="J1770" s="46"/>
      <c r="K1770" s="46"/>
      <c r="L1770" s="46"/>
      <c r="M1770" s="46" t="str">
        <f aca="false">IF(OR(B1770="",I1770=""),"",IFERROR(INDEX('Comment flow'!$C$40:$C$46,MATCH(I1770,'Comment flow'!$A$40:$A$46,0)),""))</f>
        <v/>
      </c>
      <c r="N1770" s="46" t="str">
        <f aca="false">IF(B1770="","",IF(OR(I1770="",I1770="Open: needs a decision",L1770=""),"Open","Closed"))</f>
        <v/>
      </c>
      <c r="O1770" s="46"/>
      <c r="P1770" s="46" t="str">
        <f aca="false">IF(OR(B1770="",I1770&lt;&gt;"Save for a later revision"),"",IF(COUNTIF('Deferred edits'!$K$2:$K$201,A1770)&gt;0,"Yes","● Add to Deferred edits"))</f>
        <v/>
      </c>
    </row>
    <row r="1771" customFormat="false" ht="15" hidden="false" customHeight="false" outlineLevel="0" collapsed="false">
      <c r="A1771" s="46" t="s">
        <v>2066</v>
      </c>
      <c r="B1771" s="46"/>
      <c r="C1771" s="46"/>
      <c r="D1771" s="46"/>
      <c r="E1771" s="46"/>
      <c r="F1771" s="46"/>
      <c r="G1771" s="46"/>
      <c r="H1771" s="46"/>
      <c r="I1771" s="46"/>
      <c r="J1771" s="46"/>
      <c r="K1771" s="46"/>
      <c r="L1771" s="46"/>
      <c r="M1771" s="46" t="str">
        <f aca="false">IF(OR(B1771="",I1771=""),"",IFERROR(INDEX('Comment flow'!$C$40:$C$46,MATCH(I1771,'Comment flow'!$A$40:$A$46,0)),""))</f>
        <v/>
      </c>
      <c r="N1771" s="46" t="str">
        <f aca="false">IF(B1771="","",IF(OR(I1771="",I1771="Open: needs a decision",L1771=""),"Open","Closed"))</f>
        <v/>
      </c>
      <c r="O1771" s="46"/>
      <c r="P1771" s="46" t="str">
        <f aca="false">IF(OR(B1771="",I1771&lt;&gt;"Save for a later revision"),"",IF(COUNTIF('Deferred edits'!$K$2:$K$201,A1771)&gt;0,"Yes","● Add to Deferred edits"))</f>
        <v/>
      </c>
    </row>
    <row r="1772" customFormat="false" ht="15" hidden="false" customHeight="false" outlineLevel="0" collapsed="false">
      <c r="A1772" s="46" t="s">
        <v>2067</v>
      </c>
      <c r="B1772" s="46"/>
      <c r="C1772" s="46"/>
      <c r="D1772" s="46"/>
      <c r="E1772" s="46"/>
      <c r="F1772" s="46"/>
      <c r="G1772" s="46"/>
      <c r="H1772" s="46"/>
      <c r="I1772" s="46"/>
      <c r="J1772" s="46"/>
      <c r="K1772" s="46"/>
      <c r="L1772" s="46"/>
      <c r="M1772" s="46" t="str">
        <f aca="false">IF(OR(B1772="",I1772=""),"",IFERROR(INDEX('Comment flow'!$C$40:$C$46,MATCH(I1772,'Comment flow'!$A$40:$A$46,0)),""))</f>
        <v/>
      </c>
      <c r="N1772" s="46" t="str">
        <f aca="false">IF(B1772="","",IF(OR(I1772="",I1772="Open: needs a decision",L1772=""),"Open","Closed"))</f>
        <v/>
      </c>
      <c r="O1772" s="46"/>
      <c r="P1772" s="46" t="str">
        <f aca="false">IF(OR(B1772="",I1772&lt;&gt;"Save for a later revision"),"",IF(COUNTIF('Deferred edits'!$K$2:$K$201,A1772)&gt;0,"Yes","● Add to Deferred edits"))</f>
        <v/>
      </c>
    </row>
    <row r="1773" customFormat="false" ht="15" hidden="false" customHeight="false" outlineLevel="0" collapsed="false">
      <c r="A1773" s="46" t="s">
        <v>2068</v>
      </c>
      <c r="B1773" s="46"/>
      <c r="C1773" s="46"/>
      <c r="D1773" s="46"/>
      <c r="E1773" s="46"/>
      <c r="F1773" s="46"/>
      <c r="G1773" s="46"/>
      <c r="H1773" s="46"/>
      <c r="I1773" s="46"/>
      <c r="J1773" s="46"/>
      <c r="K1773" s="46"/>
      <c r="L1773" s="46"/>
      <c r="M1773" s="46" t="str">
        <f aca="false">IF(OR(B1773="",I1773=""),"",IFERROR(INDEX('Comment flow'!$C$40:$C$46,MATCH(I1773,'Comment flow'!$A$40:$A$46,0)),""))</f>
        <v/>
      </c>
      <c r="N1773" s="46" t="str">
        <f aca="false">IF(B1773="","",IF(OR(I1773="",I1773="Open: needs a decision",L1773=""),"Open","Closed"))</f>
        <v/>
      </c>
      <c r="O1773" s="46"/>
      <c r="P1773" s="46" t="str">
        <f aca="false">IF(OR(B1773="",I1773&lt;&gt;"Save for a later revision"),"",IF(COUNTIF('Deferred edits'!$K$2:$K$201,A1773)&gt;0,"Yes","● Add to Deferred edits"))</f>
        <v/>
      </c>
    </row>
    <row r="1774" customFormat="false" ht="15" hidden="false" customHeight="false" outlineLevel="0" collapsed="false">
      <c r="A1774" s="46" t="s">
        <v>2069</v>
      </c>
      <c r="B1774" s="46"/>
      <c r="C1774" s="46"/>
      <c r="D1774" s="46"/>
      <c r="E1774" s="46"/>
      <c r="F1774" s="46"/>
      <c r="G1774" s="46"/>
      <c r="H1774" s="46"/>
      <c r="I1774" s="46"/>
      <c r="J1774" s="46"/>
      <c r="K1774" s="46"/>
      <c r="L1774" s="46"/>
      <c r="M1774" s="46" t="str">
        <f aca="false">IF(OR(B1774="",I1774=""),"",IFERROR(INDEX('Comment flow'!$C$40:$C$46,MATCH(I1774,'Comment flow'!$A$40:$A$46,0)),""))</f>
        <v/>
      </c>
      <c r="N1774" s="46" t="str">
        <f aca="false">IF(B1774="","",IF(OR(I1774="",I1774="Open: needs a decision",L1774=""),"Open","Closed"))</f>
        <v/>
      </c>
      <c r="O1774" s="46"/>
      <c r="P1774" s="46" t="str">
        <f aca="false">IF(OR(B1774="",I1774&lt;&gt;"Save for a later revision"),"",IF(COUNTIF('Deferred edits'!$K$2:$K$201,A1774)&gt;0,"Yes","● Add to Deferred edits"))</f>
        <v/>
      </c>
    </row>
    <row r="1775" customFormat="false" ht="15" hidden="false" customHeight="false" outlineLevel="0" collapsed="false">
      <c r="A1775" s="46" t="s">
        <v>2070</v>
      </c>
      <c r="B1775" s="46"/>
      <c r="C1775" s="46"/>
      <c r="D1775" s="46"/>
      <c r="E1775" s="46"/>
      <c r="F1775" s="46"/>
      <c r="G1775" s="46"/>
      <c r="H1775" s="46"/>
      <c r="I1775" s="46"/>
      <c r="J1775" s="46"/>
      <c r="K1775" s="46"/>
      <c r="L1775" s="46"/>
      <c r="M1775" s="46" t="str">
        <f aca="false">IF(OR(B1775="",I1775=""),"",IFERROR(INDEX('Comment flow'!$C$40:$C$46,MATCH(I1775,'Comment flow'!$A$40:$A$46,0)),""))</f>
        <v/>
      </c>
      <c r="N1775" s="46" t="str">
        <f aca="false">IF(B1775="","",IF(OR(I1775="",I1775="Open: needs a decision",L1775=""),"Open","Closed"))</f>
        <v/>
      </c>
      <c r="O1775" s="46"/>
      <c r="P1775" s="46" t="str">
        <f aca="false">IF(OR(B1775="",I1775&lt;&gt;"Save for a later revision"),"",IF(COUNTIF('Deferred edits'!$K$2:$K$201,A1775)&gt;0,"Yes","● Add to Deferred edits"))</f>
        <v/>
      </c>
    </row>
    <row r="1776" customFormat="false" ht="15" hidden="false" customHeight="false" outlineLevel="0" collapsed="false">
      <c r="A1776" s="46" t="s">
        <v>2071</v>
      </c>
      <c r="B1776" s="46"/>
      <c r="C1776" s="46"/>
      <c r="D1776" s="46"/>
      <c r="E1776" s="46"/>
      <c r="F1776" s="46"/>
      <c r="G1776" s="46"/>
      <c r="H1776" s="46"/>
      <c r="I1776" s="46"/>
      <c r="J1776" s="46"/>
      <c r="K1776" s="46"/>
      <c r="L1776" s="46"/>
      <c r="M1776" s="46" t="str">
        <f aca="false">IF(OR(B1776="",I1776=""),"",IFERROR(INDEX('Comment flow'!$C$40:$C$46,MATCH(I1776,'Comment flow'!$A$40:$A$46,0)),""))</f>
        <v/>
      </c>
      <c r="N1776" s="46" t="str">
        <f aca="false">IF(B1776="","",IF(OR(I1776="",I1776="Open: needs a decision",L1776=""),"Open","Closed"))</f>
        <v/>
      </c>
      <c r="O1776" s="46"/>
      <c r="P1776" s="46" t="str">
        <f aca="false">IF(OR(B1776="",I1776&lt;&gt;"Save for a later revision"),"",IF(COUNTIF('Deferred edits'!$K$2:$K$201,A1776)&gt;0,"Yes","● Add to Deferred edits"))</f>
        <v/>
      </c>
    </row>
    <row r="1777" customFormat="false" ht="15" hidden="false" customHeight="false" outlineLevel="0" collapsed="false">
      <c r="A1777" s="46" t="s">
        <v>2072</v>
      </c>
      <c r="B1777" s="46"/>
      <c r="C1777" s="46"/>
      <c r="D1777" s="46"/>
      <c r="E1777" s="46"/>
      <c r="F1777" s="46"/>
      <c r="G1777" s="46"/>
      <c r="H1777" s="46"/>
      <c r="I1777" s="46"/>
      <c r="J1777" s="46"/>
      <c r="K1777" s="46"/>
      <c r="L1777" s="46"/>
      <c r="M1777" s="46" t="str">
        <f aca="false">IF(OR(B1777="",I1777=""),"",IFERROR(INDEX('Comment flow'!$C$40:$C$46,MATCH(I1777,'Comment flow'!$A$40:$A$46,0)),""))</f>
        <v/>
      </c>
      <c r="N1777" s="46" t="str">
        <f aca="false">IF(B1777="","",IF(OR(I1777="",I1777="Open: needs a decision",L1777=""),"Open","Closed"))</f>
        <v/>
      </c>
      <c r="O1777" s="46"/>
      <c r="P1777" s="46" t="str">
        <f aca="false">IF(OR(B1777="",I1777&lt;&gt;"Save for a later revision"),"",IF(COUNTIF('Deferred edits'!$K$2:$K$201,A1777)&gt;0,"Yes","● Add to Deferred edits"))</f>
        <v/>
      </c>
    </row>
    <row r="1778" customFormat="false" ht="15" hidden="false" customHeight="false" outlineLevel="0" collapsed="false">
      <c r="A1778" s="46" t="s">
        <v>2073</v>
      </c>
      <c r="B1778" s="46"/>
      <c r="C1778" s="46"/>
      <c r="D1778" s="46"/>
      <c r="E1778" s="46"/>
      <c r="F1778" s="46"/>
      <c r="G1778" s="46"/>
      <c r="H1778" s="46"/>
      <c r="I1778" s="46"/>
      <c r="J1778" s="46"/>
      <c r="K1778" s="46"/>
      <c r="L1778" s="46"/>
      <c r="M1778" s="46" t="str">
        <f aca="false">IF(OR(B1778="",I1778=""),"",IFERROR(INDEX('Comment flow'!$C$40:$C$46,MATCH(I1778,'Comment flow'!$A$40:$A$46,0)),""))</f>
        <v/>
      </c>
      <c r="N1778" s="46" t="str">
        <f aca="false">IF(B1778="","",IF(OR(I1778="",I1778="Open: needs a decision",L1778=""),"Open","Closed"))</f>
        <v/>
      </c>
      <c r="O1778" s="46"/>
      <c r="P1778" s="46" t="str">
        <f aca="false">IF(OR(B1778="",I1778&lt;&gt;"Save for a later revision"),"",IF(COUNTIF('Deferred edits'!$K$2:$K$201,A1778)&gt;0,"Yes","● Add to Deferred edits"))</f>
        <v/>
      </c>
    </row>
    <row r="1779" customFormat="false" ht="15" hidden="false" customHeight="false" outlineLevel="0" collapsed="false">
      <c r="A1779" s="46" t="s">
        <v>2074</v>
      </c>
      <c r="B1779" s="46"/>
      <c r="C1779" s="46"/>
      <c r="D1779" s="46"/>
      <c r="E1779" s="46"/>
      <c r="F1779" s="46"/>
      <c r="G1779" s="46"/>
      <c r="H1779" s="46"/>
      <c r="I1779" s="46"/>
      <c r="J1779" s="46"/>
      <c r="K1779" s="46"/>
      <c r="L1779" s="46"/>
      <c r="M1779" s="46" t="str">
        <f aca="false">IF(OR(B1779="",I1779=""),"",IFERROR(INDEX('Comment flow'!$C$40:$C$46,MATCH(I1779,'Comment flow'!$A$40:$A$46,0)),""))</f>
        <v/>
      </c>
      <c r="N1779" s="46" t="str">
        <f aca="false">IF(B1779="","",IF(OR(I1779="",I1779="Open: needs a decision",L1779=""),"Open","Closed"))</f>
        <v/>
      </c>
      <c r="O1779" s="46"/>
      <c r="P1779" s="46" t="str">
        <f aca="false">IF(OR(B1779="",I1779&lt;&gt;"Save for a later revision"),"",IF(COUNTIF('Deferred edits'!$K$2:$K$201,A1779)&gt;0,"Yes","● Add to Deferred edits"))</f>
        <v/>
      </c>
    </row>
    <row r="1780" customFormat="false" ht="15" hidden="false" customHeight="false" outlineLevel="0" collapsed="false">
      <c r="A1780" s="46" t="s">
        <v>2075</v>
      </c>
      <c r="B1780" s="46"/>
      <c r="C1780" s="46"/>
      <c r="D1780" s="46"/>
      <c r="E1780" s="46"/>
      <c r="F1780" s="46"/>
      <c r="G1780" s="46"/>
      <c r="H1780" s="46"/>
      <c r="I1780" s="46"/>
      <c r="J1780" s="46"/>
      <c r="K1780" s="46"/>
      <c r="L1780" s="46"/>
      <c r="M1780" s="46" t="str">
        <f aca="false">IF(OR(B1780="",I1780=""),"",IFERROR(INDEX('Comment flow'!$C$40:$C$46,MATCH(I1780,'Comment flow'!$A$40:$A$46,0)),""))</f>
        <v/>
      </c>
      <c r="N1780" s="46" t="str">
        <f aca="false">IF(B1780="","",IF(OR(I1780="",I1780="Open: needs a decision",L1780=""),"Open","Closed"))</f>
        <v/>
      </c>
      <c r="O1780" s="46"/>
      <c r="P1780" s="46" t="str">
        <f aca="false">IF(OR(B1780="",I1780&lt;&gt;"Save for a later revision"),"",IF(COUNTIF('Deferred edits'!$K$2:$K$201,A1780)&gt;0,"Yes","● Add to Deferred edits"))</f>
        <v/>
      </c>
    </row>
    <row r="1781" customFormat="false" ht="15" hidden="false" customHeight="false" outlineLevel="0" collapsed="false">
      <c r="A1781" s="46" t="s">
        <v>2076</v>
      </c>
      <c r="B1781" s="46"/>
      <c r="C1781" s="46"/>
      <c r="D1781" s="46"/>
      <c r="E1781" s="46"/>
      <c r="F1781" s="46"/>
      <c r="G1781" s="46"/>
      <c r="H1781" s="46"/>
      <c r="I1781" s="46"/>
      <c r="J1781" s="46"/>
      <c r="K1781" s="46"/>
      <c r="L1781" s="46"/>
      <c r="M1781" s="46" t="str">
        <f aca="false">IF(OR(B1781="",I1781=""),"",IFERROR(INDEX('Comment flow'!$C$40:$C$46,MATCH(I1781,'Comment flow'!$A$40:$A$46,0)),""))</f>
        <v/>
      </c>
      <c r="N1781" s="46" t="str">
        <f aca="false">IF(B1781="","",IF(OR(I1781="",I1781="Open: needs a decision",L1781=""),"Open","Closed"))</f>
        <v/>
      </c>
      <c r="O1781" s="46"/>
      <c r="P1781" s="46" t="str">
        <f aca="false">IF(OR(B1781="",I1781&lt;&gt;"Save for a later revision"),"",IF(COUNTIF('Deferred edits'!$K$2:$K$201,A1781)&gt;0,"Yes","● Add to Deferred edits"))</f>
        <v/>
      </c>
    </row>
    <row r="1782" customFormat="false" ht="15" hidden="false" customHeight="false" outlineLevel="0" collapsed="false">
      <c r="A1782" s="46" t="s">
        <v>2077</v>
      </c>
      <c r="B1782" s="46"/>
      <c r="C1782" s="46"/>
      <c r="D1782" s="46"/>
      <c r="E1782" s="46"/>
      <c r="F1782" s="46"/>
      <c r="G1782" s="46"/>
      <c r="H1782" s="46"/>
      <c r="I1782" s="46"/>
      <c r="J1782" s="46"/>
      <c r="K1782" s="46"/>
      <c r="L1782" s="46"/>
      <c r="M1782" s="46" t="str">
        <f aca="false">IF(OR(B1782="",I1782=""),"",IFERROR(INDEX('Comment flow'!$C$40:$C$46,MATCH(I1782,'Comment flow'!$A$40:$A$46,0)),""))</f>
        <v/>
      </c>
      <c r="N1782" s="46" t="str">
        <f aca="false">IF(B1782="","",IF(OR(I1782="",I1782="Open: needs a decision",L1782=""),"Open","Closed"))</f>
        <v/>
      </c>
      <c r="O1782" s="46"/>
      <c r="P1782" s="46" t="str">
        <f aca="false">IF(OR(B1782="",I1782&lt;&gt;"Save for a later revision"),"",IF(COUNTIF('Deferred edits'!$K$2:$K$201,A1782)&gt;0,"Yes","● Add to Deferred edits"))</f>
        <v/>
      </c>
    </row>
    <row r="1783" customFormat="false" ht="15" hidden="false" customHeight="false" outlineLevel="0" collapsed="false">
      <c r="A1783" s="46" t="s">
        <v>2078</v>
      </c>
      <c r="B1783" s="46"/>
      <c r="C1783" s="46"/>
      <c r="D1783" s="46"/>
      <c r="E1783" s="46"/>
      <c r="F1783" s="46"/>
      <c r="G1783" s="46"/>
      <c r="H1783" s="46"/>
      <c r="I1783" s="46"/>
      <c r="J1783" s="46"/>
      <c r="K1783" s="46"/>
      <c r="L1783" s="46"/>
      <c r="M1783" s="46" t="str">
        <f aca="false">IF(OR(B1783="",I1783=""),"",IFERROR(INDEX('Comment flow'!$C$40:$C$46,MATCH(I1783,'Comment flow'!$A$40:$A$46,0)),""))</f>
        <v/>
      </c>
      <c r="N1783" s="46" t="str">
        <f aca="false">IF(B1783="","",IF(OR(I1783="",I1783="Open: needs a decision",L1783=""),"Open","Closed"))</f>
        <v/>
      </c>
      <c r="O1783" s="46"/>
      <c r="P1783" s="46" t="str">
        <f aca="false">IF(OR(B1783="",I1783&lt;&gt;"Save for a later revision"),"",IF(COUNTIF('Deferred edits'!$K$2:$K$201,A1783)&gt;0,"Yes","● Add to Deferred edits"))</f>
        <v/>
      </c>
    </row>
    <row r="1784" customFormat="false" ht="15" hidden="false" customHeight="false" outlineLevel="0" collapsed="false">
      <c r="A1784" s="46" t="s">
        <v>2079</v>
      </c>
      <c r="B1784" s="46"/>
      <c r="C1784" s="46"/>
      <c r="D1784" s="46"/>
      <c r="E1784" s="46"/>
      <c r="F1784" s="46"/>
      <c r="G1784" s="46"/>
      <c r="H1784" s="46"/>
      <c r="I1784" s="46"/>
      <c r="J1784" s="46"/>
      <c r="K1784" s="46"/>
      <c r="L1784" s="46"/>
      <c r="M1784" s="46" t="str">
        <f aca="false">IF(OR(B1784="",I1784=""),"",IFERROR(INDEX('Comment flow'!$C$40:$C$46,MATCH(I1784,'Comment flow'!$A$40:$A$46,0)),""))</f>
        <v/>
      </c>
      <c r="N1784" s="46" t="str">
        <f aca="false">IF(B1784="","",IF(OR(I1784="",I1784="Open: needs a decision",L1784=""),"Open","Closed"))</f>
        <v/>
      </c>
      <c r="O1784" s="46"/>
      <c r="P1784" s="46" t="str">
        <f aca="false">IF(OR(B1784="",I1784&lt;&gt;"Save for a later revision"),"",IF(COUNTIF('Deferred edits'!$K$2:$K$201,A1784)&gt;0,"Yes","● Add to Deferred edits"))</f>
        <v/>
      </c>
    </row>
    <row r="1785" customFormat="false" ht="15" hidden="false" customHeight="false" outlineLevel="0" collapsed="false">
      <c r="A1785" s="46" t="s">
        <v>2080</v>
      </c>
      <c r="B1785" s="46"/>
      <c r="C1785" s="46"/>
      <c r="D1785" s="46"/>
      <c r="E1785" s="46"/>
      <c r="F1785" s="46"/>
      <c r="G1785" s="46"/>
      <c r="H1785" s="46"/>
      <c r="I1785" s="46"/>
      <c r="J1785" s="46"/>
      <c r="K1785" s="46"/>
      <c r="L1785" s="46"/>
      <c r="M1785" s="46" t="str">
        <f aca="false">IF(OR(B1785="",I1785=""),"",IFERROR(INDEX('Comment flow'!$C$40:$C$46,MATCH(I1785,'Comment flow'!$A$40:$A$46,0)),""))</f>
        <v/>
      </c>
      <c r="N1785" s="46" t="str">
        <f aca="false">IF(B1785="","",IF(OR(I1785="",I1785="Open: needs a decision",L1785=""),"Open","Closed"))</f>
        <v/>
      </c>
      <c r="O1785" s="46"/>
      <c r="P1785" s="46" t="str">
        <f aca="false">IF(OR(B1785="",I1785&lt;&gt;"Save for a later revision"),"",IF(COUNTIF('Deferred edits'!$K$2:$K$201,A1785)&gt;0,"Yes","● Add to Deferred edits"))</f>
        <v/>
      </c>
    </row>
    <row r="1786" customFormat="false" ht="15" hidden="false" customHeight="false" outlineLevel="0" collapsed="false">
      <c r="A1786" s="46" t="s">
        <v>2081</v>
      </c>
      <c r="B1786" s="46"/>
      <c r="C1786" s="46"/>
      <c r="D1786" s="46"/>
      <c r="E1786" s="46"/>
      <c r="F1786" s="46"/>
      <c r="G1786" s="46"/>
      <c r="H1786" s="46"/>
      <c r="I1786" s="46"/>
      <c r="J1786" s="46"/>
      <c r="K1786" s="46"/>
      <c r="L1786" s="46"/>
      <c r="M1786" s="46" t="str">
        <f aca="false">IF(OR(B1786="",I1786=""),"",IFERROR(INDEX('Comment flow'!$C$40:$C$46,MATCH(I1786,'Comment flow'!$A$40:$A$46,0)),""))</f>
        <v/>
      </c>
      <c r="N1786" s="46" t="str">
        <f aca="false">IF(B1786="","",IF(OR(I1786="",I1786="Open: needs a decision",L1786=""),"Open","Closed"))</f>
        <v/>
      </c>
      <c r="O1786" s="46"/>
      <c r="P1786" s="46" t="str">
        <f aca="false">IF(OR(B1786="",I1786&lt;&gt;"Save for a later revision"),"",IF(COUNTIF('Deferred edits'!$K$2:$K$201,A1786)&gt;0,"Yes","● Add to Deferred edits"))</f>
        <v/>
      </c>
    </row>
    <row r="1787" customFormat="false" ht="15" hidden="false" customHeight="false" outlineLevel="0" collapsed="false">
      <c r="A1787" s="46" t="s">
        <v>2082</v>
      </c>
      <c r="B1787" s="46"/>
      <c r="C1787" s="46"/>
      <c r="D1787" s="46"/>
      <c r="E1787" s="46"/>
      <c r="F1787" s="46"/>
      <c r="G1787" s="46"/>
      <c r="H1787" s="46"/>
      <c r="I1787" s="46"/>
      <c r="J1787" s="46"/>
      <c r="K1787" s="46"/>
      <c r="L1787" s="46"/>
      <c r="M1787" s="46" t="str">
        <f aca="false">IF(OR(B1787="",I1787=""),"",IFERROR(INDEX('Comment flow'!$C$40:$C$46,MATCH(I1787,'Comment flow'!$A$40:$A$46,0)),""))</f>
        <v/>
      </c>
      <c r="N1787" s="46" t="str">
        <f aca="false">IF(B1787="","",IF(OR(I1787="",I1787="Open: needs a decision",L1787=""),"Open","Closed"))</f>
        <v/>
      </c>
      <c r="O1787" s="46"/>
      <c r="P1787" s="46" t="str">
        <f aca="false">IF(OR(B1787="",I1787&lt;&gt;"Save for a later revision"),"",IF(COUNTIF('Deferred edits'!$K$2:$K$201,A1787)&gt;0,"Yes","● Add to Deferred edits"))</f>
        <v/>
      </c>
    </row>
    <row r="1788" customFormat="false" ht="15" hidden="false" customHeight="false" outlineLevel="0" collapsed="false">
      <c r="A1788" s="46" t="s">
        <v>2083</v>
      </c>
      <c r="B1788" s="46"/>
      <c r="C1788" s="46"/>
      <c r="D1788" s="46"/>
      <c r="E1788" s="46"/>
      <c r="F1788" s="46"/>
      <c r="G1788" s="46"/>
      <c r="H1788" s="46"/>
      <c r="I1788" s="46"/>
      <c r="J1788" s="46"/>
      <c r="K1788" s="46"/>
      <c r="L1788" s="46"/>
      <c r="M1788" s="46" t="str">
        <f aca="false">IF(OR(B1788="",I1788=""),"",IFERROR(INDEX('Comment flow'!$C$40:$C$46,MATCH(I1788,'Comment flow'!$A$40:$A$46,0)),""))</f>
        <v/>
      </c>
      <c r="N1788" s="46" t="str">
        <f aca="false">IF(B1788="","",IF(OR(I1788="",I1788="Open: needs a decision",L1788=""),"Open","Closed"))</f>
        <v/>
      </c>
      <c r="O1788" s="46"/>
      <c r="P1788" s="46" t="str">
        <f aca="false">IF(OR(B1788="",I1788&lt;&gt;"Save for a later revision"),"",IF(COUNTIF('Deferred edits'!$K$2:$K$201,A1788)&gt;0,"Yes","● Add to Deferred edits"))</f>
        <v/>
      </c>
    </row>
    <row r="1789" customFormat="false" ht="15" hidden="false" customHeight="false" outlineLevel="0" collapsed="false">
      <c r="A1789" s="46" t="s">
        <v>2084</v>
      </c>
      <c r="B1789" s="46"/>
      <c r="C1789" s="46"/>
      <c r="D1789" s="46"/>
      <c r="E1789" s="46"/>
      <c r="F1789" s="46"/>
      <c r="G1789" s="46"/>
      <c r="H1789" s="46"/>
      <c r="I1789" s="46"/>
      <c r="J1789" s="46"/>
      <c r="K1789" s="46"/>
      <c r="L1789" s="46"/>
      <c r="M1789" s="46" t="str">
        <f aca="false">IF(OR(B1789="",I1789=""),"",IFERROR(INDEX('Comment flow'!$C$40:$C$46,MATCH(I1789,'Comment flow'!$A$40:$A$46,0)),""))</f>
        <v/>
      </c>
      <c r="N1789" s="46" t="str">
        <f aca="false">IF(B1789="","",IF(OR(I1789="",I1789="Open: needs a decision",L1789=""),"Open","Closed"))</f>
        <v/>
      </c>
      <c r="O1789" s="46"/>
      <c r="P1789" s="46" t="str">
        <f aca="false">IF(OR(B1789="",I1789&lt;&gt;"Save for a later revision"),"",IF(COUNTIF('Deferred edits'!$K$2:$K$201,A1789)&gt;0,"Yes","● Add to Deferred edits"))</f>
        <v/>
      </c>
    </row>
    <row r="1790" customFormat="false" ht="15" hidden="false" customHeight="false" outlineLevel="0" collapsed="false">
      <c r="A1790" s="46" t="s">
        <v>2085</v>
      </c>
      <c r="B1790" s="46"/>
      <c r="C1790" s="46"/>
      <c r="D1790" s="46"/>
      <c r="E1790" s="46"/>
      <c r="F1790" s="46"/>
      <c r="G1790" s="46"/>
      <c r="H1790" s="46"/>
      <c r="I1790" s="46"/>
      <c r="J1790" s="46"/>
      <c r="K1790" s="46"/>
      <c r="L1790" s="46"/>
      <c r="M1790" s="46" t="str">
        <f aca="false">IF(OR(B1790="",I1790=""),"",IFERROR(INDEX('Comment flow'!$C$40:$C$46,MATCH(I1790,'Comment flow'!$A$40:$A$46,0)),""))</f>
        <v/>
      </c>
      <c r="N1790" s="46" t="str">
        <f aca="false">IF(B1790="","",IF(OR(I1790="",I1790="Open: needs a decision",L1790=""),"Open","Closed"))</f>
        <v/>
      </c>
      <c r="O1790" s="46"/>
      <c r="P1790" s="46" t="str">
        <f aca="false">IF(OR(B1790="",I1790&lt;&gt;"Save for a later revision"),"",IF(COUNTIF('Deferred edits'!$K$2:$K$201,A1790)&gt;0,"Yes","● Add to Deferred edits"))</f>
        <v/>
      </c>
    </row>
    <row r="1791" customFormat="false" ht="15" hidden="false" customHeight="false" outlineLevel="0" collapsed="false">
      <c r="A1791" s="46" t="s">
        <v>2086</v>
      </c>
      <c r="B1791" s="46"/>
      <c r="C1791" s="46"/>
      <c r="D1791" s="46"/>
      <c r="E1791" s="46"/>
      <c r="F1791" s="46"/>
      <c r="G1791" s="46"/>
      <c r="H1791" s="46"/>
      <c r="I1791" s="46"/>
      <c r="J1791" s="46"/>
      <c r="K1791" s="46"/>
      <c r="L1791" s="46"/>
      <c r="M1791" s="46" t="str">
        <f aca="false">IF(OR(B1791="",I1791=""),"",IFERROR(INDEX('Comment flow'!$C$40:$C$46,MATCH(I1791,'Comment flow'!$A$40:$A$46,0)),""))</f>
        <v/>
      </c>
      <c r="N1791" s="46" t="str">
        <f aca="false">IF(B1791="","",IF(OR(I1791="",I1791="Open: needs a decision",L1791=""),"Open","Closed"))</f>
        <v/>
      </c>
      <c r="O1791" s="46"/>
      <c r="P1791" s="46" t="str">
        <f aca="false">IF(OR(B1791="",I1791&lt;&gt;"Save for a later revision"),"",IF(COUNTIF('Deferred edits'!$K$2:$K$201,A1791)&gt;0,"Yes","● Add to Deferred edits"))</f>
        <v/>
      </c>
    </row>
    <row r="1792" customFormat="false" ht="15" hidden="false" customHeight="false" outlineLevel="0" collapsed="false">
      <c r="A1792" s="46" t="s">
        <v>2087</v>
      </c>
      <c r="B1792" s="46"/>
      <c r="C1792" s="46"/>
      <c r="D1792" s="46"/>
      <c r="E1792" s="46"/>
      <c r="F1792" s="46"/>
      <c r="G1792" s="46"/>
      <c r="H1792" s="46"/>
      <c r="I1792" s="46"/>
      <c r="J1792" s="46"/>
      <c r="K1792" s="46"/>
      <c r="L1792" s="46"/>
      <c r="M1792" s="46" t="str">
        <f aca="false">IF(OR(B1792="",I1792=""),"",IFERROR(INDEX('Comment flow'!$C$40:$C$46,MATCH(I1792,'Comment flow'!$A$40:$A$46,0)),""))</f>
        <v/>
      </c>
      <c r="N1792" s="46" t="str">
        <f aca="false">IF(B1792="","",IF(OR(I1792="",I1792="Open: needs a decision",L1792=""),"Open","Closed"))</f>
        <v/>
      </c>
      <c r="O1792" s="46"/>
      <c r="P1792" s="46" t="str">
        <f aca="false">IF(OR(B1792="",I1792&lt;&gt;"Save for a later revision"),"",IF(COUNTIF('Deferred edits'!$K$2:$K$201,A1792)&gt;0,"Yes","● Add to Deferred edits"))</f>
        <v/>
      </c>
    </row>
    <row r="1793" customFormat="false" ht="15" hidden="false" customHeight="false" outlineLevel="0" collapsed="false">
      <c r="A1793" s="46" t="s">
        <v>2088</v>
      </c>
      <c r="B1793" s="46"/>
      <c r="C1793" s="46"/>
      <c r="D1793" s="46"/>
      <c r="E1793" s="46"/>
      <c r="F1793" s="46"/>
      <c r="G1793" s="46"/>
      <c r="H1793" s="46"/>
      <c r="I1793" s="46"/>
      <c r="J1793" s="46"/>
      <c r="K1793" s="46"/>
      <c r="L1793" s="46"/>
      <c r="M1793" s="46" t="str">
        <f aca="false">IF(OR(B1793="",I1793=""),"",IFERROR(INDEX('Comment flow'!$C$40:$C$46,MATCH(I1793,'Comment flow'!$A$40:$A$46,0)),""))</f>
        <v/>
      </c>
      <c r="N1793" s="46" t="str">
        <f aca="false">IF(B1793="","",IF(OR(I1793="",I1793="Open: needs a decision",L1793=""),"Open","Closed"))</f>
        <v/>
      </c>
      <c r="O1793" s="46"/>
      <c r="P1793" s="46" t="str">
        <f aca="false">IF(OR(B1793="",I1793&lt;&gt;"Save for a later revision"),"",IF(COUNTIF('Deferred edits'!$K$2:$K$201,A1793)&gt;0,"Yes","● Add to Deferred edits"))</f>
        <v/>
      </c>
    </row>
    <row r="1794" customFormat="false" ht="15" hidden="false" customHeight="false" outlineLevel="0" collapsed="false">
      <c r="A1794" s="46" t="s">
        <v>2089</v>
      </c>
      <c r="B1794" s="46"/>
      <c r="C1794" s="46"/>
      <c r="D1794" s="46"/>
      <c r="E1794" s="46"/>
      <c r="F1794" s="46"/>
      <c r="G1794" s="46"/>
      <c r="H1794" s="46"/>
      <c r="I1794" s="46"/>
      <c r="J1794" s="46"/>
      <c r="K1794" s="46"/>
      <c r="L1794" s="46"/>
      <c r="M1794" s="46" t="str">
        <f aca="false">IF(OR(B1794="",I1794=""),"",IFERROR(INDEX('Comment flow'!$C$40:$C$46,MATCH(I1794,'Comment flow'!$A$40:$A$46,0)),""))</f>
        <v/>
      </c>
      <c r="N1794" s="46" t="str">
        <f aca="false">IF(B1794="","",IF(OR(I1794="",I1794="Open: needs a decision",L1794=""),"Open","Closed"))</f>
        <v/>
      </c>
      <c r="O1794" s="46"/>
      <c r="P1794" s="46" t="str">
        <f aca="false">IF(OR(B1794="",I1794&lt;&gt;"Save for a later revision"),"",IF(COUNTIF('Deferred edits'!$K$2:$K$201,A1794)&gt;0,"Yes","● Add to Deferred edits"))</f>
        <v/>
      </c>
    </row>
    <row r="1795" customFormat="false" ht="15" hidden="false" customHeight="false" outlineLevel="0" collapsed="false">
      <c r="A1795" s="46" t="s">
        <v>2090</v>
      </c>
      <c r="B1795" s="46"/>
      <c r="C1795" s="46"/>
      <c r="D1795" s="46"/>
      <c r="E1795" s="46"/>
      <c r="F1795" s="46"/>
      <c r="G1795" s="46"/>
      <c r="H1795" s="46"/>
      <c r="I1795" s="46"/>
      <c r="J1795" s="46"/>
      <c r="K1795" s="46"/>
      <c r="L1795" s="46"/>
      <c r="M1795" s="46" t="str">
        <f aca="false">IF(OR(B1795="",I1795=""),"",IFERROR(INDEX('Comment flow'!$C$40:$C$46,MATCH(I1795,'Comment flow'!$A$40:$A$46,0)),""))</f>
        <v/>
      </c>
      <c r="N1795" s="46" t="str">
        <f aca="false">IF(B1795="","",IF(OR(I1795="",I1795="Open: needs a decision",L1795=""),"Open","Closed"))</f>
        <v/>
      </c>
      <c r="O1795" s="46"/>
      <c r="P1795" s="46" t="str">
        <f aca="false">IF(OR(B1795="",I1795&lt;&gt;"Save for a later revision"),"",IF(COUNTIF('Deferred edits'!$K$2:$K$201,A1795)&gt;0,"Yes","● Add to Deferred edits"))</f>
        <v/>
      </c>
    </row>
    <row r="1796" customFormat="false" ht="15" hidden="false" customHeight="false" outlineLevel="0" collapsed="false">
      <c r="A1796" s="46" t="s">
        <v>2091</v>
      </c>
      <c r="B1796" s="46"/>
      <c r="C1796" s="46"/>
      <c r="D1796" s="46"/>
      <c r="E1796" s="46"/>
      <c r="F1796" s="46"/>
      <c r="G1796" s="46"/>
      <c r="H1796" s="46"/>
      <c r="I1796" s="46"/>
      <c r="J1796" s="46"/>
      <c r="K1796" s="46"/>
      <c r="L1796" s="46"/>
      <c r="M1796" s="46" t="str">
        <f aca="false">IF(OR(B1796="",I1796=""),"",IFERROR(INDEX('Comment flow'!$C$40:$C$46,MATCH(I1796,'Comment flow'!$A$40:$A$46,0)),""))</f>
        <v/>
      </c>
      <c r="N1796" s="46" t="str">
        <f aca="false">IF(B1796="","",IF(OR(I1796="",I1796="Open: needs a decision",L1796=""),"Open","Closed"))</f>
        <v/>
      </c>
      <c r="O1796" s="46"/>
      <c r="P1796" s="46" t="str">
        <f aca="false">IF(OR(B1796="",I1796&lt;&gt;"Save for a later revision"),"",IF(COUNTIF('Deferred edits'!$K$2:$K$201,A1796)&gt;0,"Yes","● Add to Deferred edits"))</f>
        <v/>
      </c>
    </row>
    <row r="1797" customFormat="false" ht="15" hidden="false" customHeight="false" outlineLevel="0" collapsed="false">
      <c r="A1797" s="46" t="s">
        <v>2092</v>
      </c>
      <c r="B1797" s="46"/>
      <c r="C1797" s="46"/>
      <c r="D1797" s="46"/>
      <c r="E1797" s="46"/>
      <c r="F1797" s="46"/>
      <c r="G1797" s="46"/>
      <c r="H1797" s="46"/>
      <c r="I1797" s="46"/>
      <c r="J1797" s="46"/>
      <c r="K1797" s="46"/>
      <c r="L1797" s="46"/>
      <c r="M1797" s="46" t="str">
        <f aca="false">IF(OR(B1797="",I1797=""),"",IFERROR(INDEX('Comment flow'!$C$40:$C$46,MATCH(I1797,'Comment flow'!$A$40:$A$46,0)),""))</f>
        <v/>
      </c>
      <c r="N1797" s="46" t="str">
        <f aca="false">IF(B1797="","",IF(OR(I1797="",I1797="Open: needs a decision",L1797=""),"Open","Closed"))</f>
        <v/>
      </c>
      <c r="O1797" s="46"/>
      <c r="P1797" s="46" t="str">
        <f aca="false">IF(OR(B1797="",I1797&lt;&gt;"Save for a later revision"),"",IF(COUNTIF('Deferred edits'!$K$2:$K$201,A1797)&gt;0,"Yes","● Add to Deferred edits"))</f>
        <v/>
      </c>
    </row>
    <row r="1798" customFormat="false" ht="15" hidden="false" customHeight="false" outlineLevel="0" collapsed="false">
      <c r="A1798" s="46" t="s">
        <v>2093</v>
      </c>
      <c r="B1798" s="46"/>
      <c r="C1798" s="46"/>
      <c r="D1798" s="46"/>
      <c r="E1798" s="46"/>
      <c r="F1798" s="46"/>
      <c r="G1798" s="46"/>
      <c r="H1798" s="46"/>
      <c r="I1798" s="46"/>
      <c r="J1798" s="46"/>
      <c r="K1798" s="46"/>
      <c r="L1798" s="46"/>
      <c r="M1798" s="46" t="str">
        <f aca="false">IF(OR(B1798="",I1798=""),"",IFERROR(INDEX('Comment flow'!$C$40:$C$46,MATCH(I1798,'Comment flow'!$A$40:$A$46,0)),""))</f>
        <v/>
      </c>
      <c r="N1798" s="46" t="str">
        <f aca="false">IF(B1798="","",IF(OR(I1798="",I1798="Open: needs a decision",L1798=""),"Open","Closed"))</f>
        <v/>
      </c>
      <c r="O1798" s="46"/>
      <c r="P1798" s="46" t="str">
        <f aca="false">IF(OR(B1798="",I1798&lt;&gt;"Save for a later revision"),"",IF(COUNTIF('Deferred edits'!$K$2:$K$201,A1798)&gt;0,"Yes","● Add to Deferred edits"))</f>
        <v/>
      </c>
    </row>
    <row r="1799" customFormat="false" ht="15" hidden="false" customHeight="false" outlineLevel="0" collapsed="false">
      <c r="A1799" s="46" t="s">
        <v>2094</v>
      </c>
      <c r="B1799" s="46"/>
      <c r="C1799" s="46"/>
      <c r="D1799" s="46"/>
      <c r="E1799" s="46"/>
      <c r="F1799" s="46"/>
      <c r="G1799" s="46"/>
      <c r="H1799" s="46"/>
      <c r="I1799" s="46"/>
      <c r="J1799" s="46"/>
      <c r="K1799" s="46"/>
      <c r="L1799" s="46"/>
      <c r="M1799" s="46" t="str">
        <f aca="false">IF(OR(B1799="",I1799=""),"",IFERROR(INDEX('Comment flow'!$C$40:$C$46,MATCH(I1799,'Comment flow'!$A$40:$A$46,0)),""))</f>
        <v/>
      </c>
      <c r="N1799" s="46" t="str">
        <f aca="false">IF(B1799="","",IF(OR(I1799="",I1799="Open: needs a decision",L1799=""),"Open","Closed"))</f>
        <v/>
      </c>
      <c r="O1799" s="46"/>
      <c r="P1799" s="46" t="str">
        <f aca="false">IF(OR(B1799="",I1799&lt;&gt;"Save for a later revision"),"",IF(COUNTIF('Deferred edits'!$K$2:$K$201,A1799)&gt;0,"Yes","● Add to Deferred edits"))</f>
        <v/>
      </c>
    </row>
    <row r="1800" customFormat="false" ht="15" hidden="false" customHeight="false" outlineLevel="0" collapsed="false">
      <c r="A1800" s="46" t="s">
        <v>2095</v>
      </c>
      <c r="B1800" s="46"/>
      <c r="C1800" s="46"/>
      <c r="D1800" s="46"/>
      <c r="E1800" s="46"/>
      <c r="F1800" s="46"/>
      <c r="G1800" s="46"/>
      <c r="H1800" s="46"/>
      <c r="I1800" s="46"/>
      <c r="J1800" s="46"/>
      <c r="K1800" s="46"/>
      <c r="L1800" s="46"/>
      <c r="M1800" s="46" t="str">
        <f aca="false">IF(OR(B1800="",I1800=""),"",IFERROR(INDEX('Comment flow'!$C$40:$C$46,MATCH(I1800,'Comment flow'!$A$40:$A$46,0)),""))</f>
        <v/>
      </c>
      <c r="N1800" s="46" t="str">
        <f aca="false">IF(B1800="","",IF(OR(I1800="",I1800="Open: needs a decision",L1800=""),"Open","Closed"))</f>
        <v/>
      </c>
      <c r="O1800" s="46"/>
      <c r="P1800" s="46" t="str">
        <f aca="false">IF(OR(B1800="",I1800&lt;&gt;"Save for a later revision"),"",IF(COUNTIF('Deferred edits'!$K$2:$K$201,A1800)&gt;0,"Yes","● Add to Deferred edits"))</f>
        <v/>
      </c>
    </row>
    <row r="1801" customFormat="false" ht="15" hidden="false" customHeight="false" outlineLevel="0" collapsed="false">
      <c r="A1801" s="46" t="s">
        <v>2096</v>
      </c>
      <c r="B1801" s="46"/>
      <c r="C1801" s="46"/>
      <c r="D1801" s="46"/>
      <c r="E1801" s="46"/>
      <c r="F1801" s="46"/>
      <c r="G1801" s="46"/>
      <c r="H1801" s="46"/>
      <c r="I1801" s="46"/>
      <c r="J1801" s="46"/>
      <c r="K1801" s="46"/>
      <c r="L1801" s="46"/>
      <c r="M1801" s="46" t="str">
        <f aca="false">IF(OR(B1801="",I1801=""),"",IFERROR(INDEX('Comment flow'!$C$40:$C$46,MATCH(I1801,'Comment flow'!$A$40:$A$46,0)),""))</f>
        <v/>
      </c>
      <c r="N1801" s="46" t="str">
        <f aca="false">IF(B1801="","",IF(OR(I1801="",I1801="Open: needs a decision",L1801=""),"Open","Closed"))</f>
        <v/>
      </c>
      <c r="O1801" s="46"/>
      <c r="P1801" s="46" t="str">
        <f aca="false">IF(OR(B1801="",I1801&lt;&gt;"Save for a later revision"),"",IF(COUNTIF('Deferred edits'!$K$2:$K$201,A1801)&gt;0,"Yes","● Add to Deferred edits"))</f>
        <v/>
      </c>
    </row>
    <row r="1802" customFormat="false" ht="15" hidden="false" customHeight="false" outlineLevel="0" collapsed="false">
      <c r="A1802" s="46" t="s">
        <v>2097</v>
      </c>
      <c r="B1802" s="46"/>
      <c r="C1802" s="46"/>
      <c r="D1802" s="46"/>
      <c r="E1802" s="46"/>
      <c r="F1802" s="46"/>
      <c r="G1802" s="46"/>
      <c r="H1802" s="46"/>
      <c r="I1802" s="46"/>
      <c r="J1802" s="46"/>
      <c r="K1802" s="46"/>
      <c r="L1802" s="46"/>
      <c r="M1802" s="46" t="str">
        <f aca="false">IF(OR(B1802="",I1802=""),"",IFERROR(INDEX('Comment flow'!$C$40:$C$46,MATCH(I1802,'Comment flow'!$A$40:$A$46,0)),""))</f>
        <v/>
      </c>
      <c r="N1802" s="46" t="str">
        <f aca="false">IF(B1802="","",IF(OR(I1802="",I1802="Open: needs a decision",L1802=""),"Open","Closed"))</f>
        <v/>
      </c>
      <c r="O1802" s="46"/>
      <c r="P1802" s="46" t="str">
        <f aca="false">IF(OR(B1802="",I1802&lt;&gt;"Save for a later revision"),"",IF(COUNTIF('Deferred edits'!$K$2:$K$201,A1802)&gt;0,"Yes","● Add to Deferred edits"))</f>
        <v/>
      </c>
    </row>
    <row r="1803" customFormat="false" ht="15" hidden="false" customHeight="false" outlineLevel="0" collapsed="false">
      <c r="A1803" s="46" t="s">
        <v>2098</v>
      </c>
      <c r="B1803" s="46"/>
      <c r="C1803" s="46"/>
      <c r="D1803" s="46"/>
      <c r="E1803" s="46"/>
      <c r="F1803" s="46"/>
      <c r="G1803" s="46"/>
      <c r="H1803" s="46"/>
      <c r="I1803" s="46"/>
      <c r="J1803" s="46"/>
      <c r="K1803" s="46"/>
      <c r="L1803" s="46"/>
      <c r="M1803" s="46" t="str">
        <f aca="false">IF(OR(B1803="",I1803=""),"",IFERROR(INDEX('Comment flow'!$C$40:$C$46,MATCH(I1803,'Comment flow'!$A$40:$A$46,0)),""))</f>
        <v/>
      </c>
      <c r="N1803" s="46" t="str">
        <f aca="false">IF(B1803="","",IF(OR(I1803="",I1803="Open: needs a decision",L1803=""),"Open","Closed"))</f>
        <v/>
      </c>
      <c r="O1803" s="46"/>
      <c r="P1803" s="46" t="str">
        <f aca="false">IF(OR(B1803="",I1803&lt;&gt;"Save for a later revision"),"",IF(COUNTIF('Deferred edits'!$K$2:$K$201,A1803)&gt;0,"Yes","● Add to Deferred edits"))</f>
        <v/>
      </c>
    </row>
    <row r="1804" customFormat="false" ht="15" hidden="false" customHeight="false" outlineLevel="0" collapsed="false">
      <c r="A1804" s="46" t="s">
        <v>2099</v>
      </c>
      <c r="B1804" s="46"/>
      <c r="C1804" s="46"/>
      <c r="D1804" s="46"/>
      <c r="E1804" s="46"/>
      <c r="F1804" s="46"/>
      <c r="G1804" s="46"/>
      <c r="H1804" s="46"/>
      <c r="I1804" s="46"/>
      <c r="J1804" s="46"/>
      <c r="K1804" s="46"/>
      <c r="L1804" s="46"/>
      <c r="M1804" s="46" t="str">
        <f aca="false">IF(OR(B1804="",I1804=""),"",IFERROR(INDEX('Comment flow'!$C$40:$C$46,MATCH(I1804,'Comment flow'!$A$40:$A$46,0)),""))</f>
        <v/>
      </c>
      <c r="N1804" s="46" t="str">
        <f aca="false">IF(B1804="","",IF(OR(I1804="",I1804="Open: needs a decision",L1804=""),"Open","Closed"))</f>
        <v/>
      </c>
      <c r="O1804" s="46"/>
      <c r="P1804" s="46" t="str">
        <f aca="false">IF(OR(B1804="",I1804&lt;&gt;"Save for a later revision"),"",IF(COUNTIF('Deferred edits'!$K$2:$K$201,A1804)&gt;0,"Yes","● Add to Deferred edits"))</f>
        <v/>
      </c>
    </row>
    <row r="1805" customFormat="false" ht="15" hidden="false" customHeight="false" outlineLevel="0" collapsed="false">
      <c r="A1805" s="46" t="s">
        <v>2100</v>
      </c>
      <c r="B1805" s="46"/>
      <c r="C1805" s="46"/>
      <c r="D1805" s="46"/>
      <c r="E1805" s="46"/>
      <c r="F1805" s="46"/>
      <c r="G1805" s="46"/>
      <c r="H1805" s="46"/>
      <c r="I1805" s="46"/>
      <c r="J1805" s="46"/>
      <c r="K1805" s="46"/>
      <c r="L1805" s="46"/>
      <c r="M1805" s="46" t="str">
        <f aca="false">IF(OR(B1805="",I1805=""),"",IFERROR(INDEX('Comment flow'!$C$40:$C$46,MATCH(I1805,'Comment flow'!$A$40:$A$46,0)),""))</f>
        <v/>
      </c>
      <c r="N1805" s="46" t="str">
        <f aca="false">IF(B1805="","",IF(OR(I1805="",I1805="Open: needs a decision",L1805=""),"Open","Closed"))</f>
        <v/>
      </c>
      <c r="O1805" s="46"/>
      <c r="P1805" s="46" t="str">
        <f aca="false">IF(OR(B1805="",I1805&lt;&gt;"Save for a later revision"),"",IF(COUNTIF('Deferred edits'!$K$2:$K$201,A1805)&gt;0,"Yes","● Add to Deferred edits"))</f>
        <v/>
      </c>
    </row>
    <row r="1806" customFormat="false" ht="15" hidden="false" customHeight="false" outlineLevel="0" collapsed="false">
      <c r="A1806" s="46" t="s">
        <v>2101</v>
      </c>
      <c r="B1806" s="46"/>
      <c r="C1806" s="46"/>
      <c r="D1806" s="46"/>
      <c r="E1806" s="46"/>
      <c r="F1806" s="46"/>
      <c r="G1806" s="46"/>
      <c r="H1806" s="46"/>
      <c r="I1806" s="46"/>
      <c r="J1806" s="46"/>
      <c r="K1806" s="46"/>
      <c r="L1806" s="46"/>
      <c r="M1806" s="46" t="str">
        <f aca="false">IF(OR(B1806="",I1806=""),"",IFERROR(INDEX('Comment flow'!$C$40:$C$46,MATCH(I1806,'Comment flow'!$A$40:$A$46,0)),""))</f>
        <v/>
      </c>
      <c r="N1806" s="46" t="str">
        <f aca="false">IF(B1806="","",IF(OR(I1806="",I1806="Open: needs a decision",L1806=""),"Open","Closed"))</f>
        <v/>
      </c>
      <c r="O1806" s="46"/>
      <c r="P1806" s="46" t="str">
        <f aca="false">IF(OR(B1806="",I1806&lt;&gt;"Save for a later revision"),"",IF(COUNTIF('Deferred edits'!$K$2:$K$201,A1806)&gt;0,"Yes","● Add to Deferred edits"))</f>
        <v/>
      </c>
    </row>
    <row r="1807" customFormat="false" ht="15" hidden="false" customHeight="false" outlineLevel="0" collapsed="false">
      <c r="A1807" s="46" t="s">
        <v>2102</v>
      </c>
      <c r="B1807" s="46"/>
      <c r="C1807" s="46"/>
      <c r="D1807" s="46"/>
      <c r="E1807" s="46"/>
      <c r="F1807" s="46"/>
      <c r="G1807" s="46"/>
      <c r="H1807" s="46"/>
      <c r="I1807" s="46"/>
      <c r="J1807" s="46"/>
      <c r="K1807" s="46"/>
      <c r="L1807" s="46"/>
      <c r="M1807" s="46" t="str">
        <f aca="false">IF(OR(B1807="",I1807=""),"",IFERROR(INDEX('Comment flow'!$C$40:$C$46,MATCH(I1807,'Comment flow'!$A$40:$A$46,0)),""))</f>
        <v/>
      </c>
      <c r="N1807" s="46" t="str">
        <f aca="false">IF(B1807="","",IF(OR(I1807="",I1807="Open: needs a decision",L1807=""),"Open","Closed"))</f>
        <v/>
      </c>
      <c r="O1807" s="46"/>
      <c r="P1807" s="46" t="str">
        <f aca="false">IF(OR(B1807="",I1807&lt;&gt;"Save for a later revision"),"",IF(COUNTIF('Deferred edits'!$K$2:$K$201,A1807)&gt;0,"Yes","● Add to Deferred edits"))</f>
        <v/>
      </c>
    </row>
    <row r="1808" customFormat="false" ht="15" hidden="false" customHeight="false" outlineLevel="0" collapsed="false">
      <c r="A1808" s="46" t="s">
        <v>2103</v>
      </c>
      <c r="B1808" s="46"/>
      <c r="C1808" s="46"/>
      <c r="D1808" s="46"/>
      <c r="E1808" s="46"/>
      <c r="F1808" s="46"/>
      <c r="G1808" s="46"/>
      <c r="H1808" s="46"/>
      <c r="I1808" s="46"/>
      <c r="J1808" s="46"/>
      <c r="K1808" s="46"/>
      <c r="L1808" s="46"/>
      <c r="M1808" s="46" t="str">
        <f aca="false">IF(OR(B1808="",I1808=""),"",IFERROR(INDEX('Comment flow'!$C$40:$C$46,MATCH(I1808,'Comment flow'!$A$40:$A$46,0)),""))</f>
        <v/>
      </c>
      <c r="N1808" s="46" t="str">
        <f aca="false">IF(B1808="","",IF(OR(I1808="",I1808="Open: needs a decision",L1808=""),"Open","Closed"))</f>
        <v/>
      </c>
      <c r="O1808" s="46"/>
      <c r="P1808" s="46" t="str">
        <f aca="false">IF(OR(B1808="",I1808&lt;&gt;"Save for a later revision"),"",IF(COUNTIF('Deferred edits'!$K$2:$K$201,A1808)&gt;0,"Yes","● Add to Deferred edits"))</f>
        <v/>
      </c>
    </row>
    <row r="1809" customFormat="false" ht="15" hidden="false" customHeight="false" outlineLevel="0" collapsed="false">
      <c r="A1809" s="46" t="s">
        <v>2104</v>
      </c>
      <c r="B1809" s="46"/>
      <c r="C1809" s="46"/>
      <c r="D1809" s="46"/>
      <c r="E1809" s="46"/>
      <c r="F1809" s="46"/>
      <c r="G1809" s="46"/>
      <c r="H1809" s="46"/>
      <c r="I1809" s="46"/>
      <c r="J1809" s="46"/>
      <c r="K1809" s="46"/>
      <c r="L1809" s="46"/>
      <c r="M1809" s="46" t="str">
        <f aca="false">IF(OR(B1809="",I1809=""),"",IFERROR(INDEX('Comment flow'!$C$40:$C$46,MATCH(I1809,'Comment flow'!$A$40:$A$46,0)),""))</f>
        <v/>
      </c>
      <c r="N1809" s="46" t="str">
        <f aca="false">IF(B1809="","",IF(OR(I1809="",I1809="Open: needs a decision",L1809=""),"Open","Closed"))</f>
        <v/>
      </c>
      <c r="O1809" s="46"/>
      <c r="P1809" s="46" t="str">
        <f aca="false">IF(OR(B1809="",I1809&lt;&gt;"Save for a later revision"),"",IF(COUNTIF('Deferred edits'!$K$2:$K$201,A1809)&gt;0,"Yes","● Add to Deferred edits"))</f>
        <v/>
      </c>
    </row>
    <row r="1810" customFormat="false" ht="15" hidden="false" customHeight="false" outlineLevel="0" collapsed="false">
      <c r="A1810" s="46" t="s">
        <v>2105</v>
      </c>
      <c r="B1810" s="46"/>
      <c r="C1810" s="46"/>
      <c r="D1810" s="46"/>
      <c r="E1810" s="46"/>
      <c r="F1810" s="46"/>
      <c r="G1810" s="46"/>
      <c r="H1810" s="46"/>
      <c r="I1810" s="46"/>
      <c r="J1810" s="46"/>
      <c r="K1810" s="46"/>
      <c r="L1810" s="46"/>
      <c r="M1810" s="46" t="str">
        <f aca="false">IF(OR(B1810="",I1810=""),"",IFERROR(INDEX('Comment flow'!$C$40:$C$46,MATCH(I1810,'Comment flow'!$A$40:$A$46,0)),""))</f>
        <v/>
      </c>
      <c r="N1810" s="46" t="str">
        <f aca="false">IF(B1810="","",IF(OR(I1810="",I1810="Open: needs a decision",L1810=""),"Open","Closed"))</f>
        <v/>
      </c>
      <c r="O1810" s="46"/>
      <c r="P1810" s="46" t="str">
        <f aca="false">IF(OR(B1810="",I1810&lt;&gt;"Save for a later revision"),"",IF(COUNTIF('Deferred edits'!$K$2:$K$201,A1810)&gt;0,"Yes","● Add to Deferred edits"))</f>
        <v/>
      </c>
    </row>
    <row r="1811" customFormat="false" ht="15" hidden="false" customHeight="false" outlineLevel="0" collapsed="false">
      <c r="A1811" s="46" t="s">
        <v>2106</v>
      </c>
      <c r="B1811" s="46"/>
      <c r="C1811" s="46"/>
      <c r="D1811" s="46"/>
      <c r="E1811" s="46"/>
      <c r="F1811" s="46"/>
      <c r="G1811" s="46"/>
      <c r="H1811" s="46"/>
      <c r="I1811" s="46"/>
      <c r="J1811" s="46"/>
      <c r="K1811" s="46"/>
      <c r="L1811" s="46"/>
      <c r="M1811" s="46" t="str">
        <f aca="false">IF(OR(B1811="",I1811=""),"",IFERROR(INDEX('Comment flow'!$C$40:$C$46,MATCH(I1811,'Comment flow'!$A$40:$A$46,0)),""))</f>
        <v/>
      </c>
      <c r="N1811" s="46" t="str">
        <f aca="false">IF(B1811="","",IF(OR(I1811="",I1811="Open: needs a decision",L1811=""),"Open","Closed"))</f>
        <v/>
      </c>
      <c r="O1811" s="46"/>
      <c r="P1811" s="46" t="str">
        <f aca="false">IF(OR(B1811="",I1811&lt;&gt;"Save for a later revision"),"",IF(COUNTIF('Deferred edits'!$K$2:$K$201,A1811)&gt;0,"Yes","● Add to Deferred edits"))</f>
        <v/>
      </c>
    </row>
    <row r="1812" customFormat="false" ht="15" hidden="false" customHeight="false" outlineLevel="0" collapsed="false">
      <c r="A1812" s="46" t="s">
        <v>2107</v>
      </c>
      <c r="B1812" s="46"/>
      <c r="C1812" s="46"/>
      <c r="D1812" s="46"/>
      <c r="E1812" s="46"/>
      <c r="F1812" s="46"/>
      <c r="G1812" s="46"/>
      <c r="H1812" s="46"/>
      <c r="I1812" s="46"/>
      <c r="J1812" s="46"/>
      <c r="K1812" s="46"/>
      <c r="L1812" s="46"/>
      <c r="M1812" s="46" t="str">
        <f aca="false">IF(OR(B1812="",I1812=""),"",IFERROR(INDEX('Comment flow'!$C$40:$C$46,MATCH(I1812,'Comment flow'!$A$40:$A$46,0)),""))</f>
        <v/>
      </c>
      <c r="N1812" s="46" t="str">
        <f aca="false">IF(B1812="","",IF(OR(I1812="",I1812="Open: needs a decision",L1812=""),"Open","Closed"))</f>
        <v/>
      </c>
      <c r="O1812" s="46"/>
      <c r="P1812" s="46" t="str">
        <f aca="false">IF(OR(B1812="",I1812&lt;&gt;"Save for a later revision"),"",IF(COUNTIF('Deferred edits'!$K$2:$K$201,A1812)&gt;0,"Yes","● Add to Deferred edits"))</f>
        <v/>
      </c>
    </row>
    <row r="1813" customFormat="false" ht="15" hidden="false" customHeight="false" outlineLevel="0" collapsed="false">
      <c r="A1813" s="46" t="s">
        <v>2108</v>
      </c>
      <c r="B1813" s="46"/>
      <c r="C1813" s="46"/>
      <c r="D1813" s="46"/>
      <c r="E1813" s="46"/>
      <c r="F1813" s="46"/>
      <c r="G1813" s="46"/>
      <c r="H1813" s="46"/>
      <c r="I1813" s="46"/>
      <c r="J1813" s="46"/>
      <c r="K1813" s="46"/>
      <c r="L1813" s="46"/>
      <c r="M1813" s="46" t="str">
        <f aca="false">IF(OR(B1813="",I1813=""),"",IFERROR(INDEX('Comment flow'!$C$40:$C$46,MATCH(I1813,'Comment flow'!$A$40:$A$46,0)),""))</f>
        <v/>
      </c>
      <c r="N1813" s="46" t="str">
        <f aca="false">IF(B1813="","",IF(OR(I1813="",I1813="Open: needs a decision",L1813=""),"Open","Closed"))</f>
        <v/>
      </c>
      <c r="O1813" s="46"/>
      <c r="P1813" s="46" t="str">
        <f aca="false">IF(OR(B1813="",I1813&lt;&gt;"Save for a later revision"),"",IF(COUNTIF('Deferred edits'!$K$2:$K$201,A1813)&gt;0,"Yes","● Add to Deferred edits"))</f>
        <v/>
      </c>
    </row>
    <row r="1814" customFormat="false" ht="15" hidden="false" customHeight="false" outlineLevel="0" collapsed="false">
      <c r="A1814" s="46" t="s">
        <v>2109</v>
      </c>
      <c r="B1814" s="46"/>
      <c r="C1814" s="46"/>
      <c r="D1814" s="46"/>
      <c r="E1814" s="46"/>
      <c r="F1814" s="46"/>
      <c r="G1814" s="46"/>
      <c r="H1814" s="46"/>
      <c r="I1814" s="46"/>
      <c r="J1814" s="46"/>
      <c r="K1814" s="46"/>
      <c r="L1814" s="46"/>
      <c r="M1814" s="46" t="str">
        <f aca="false">IF(OR(B1814="",I1814=""),"",IFERROR(INDEX('Comment flow'!$C$40:$C$46,MATCH(I1814,'Comment flow'!$A$40:$A$46,0)),""))</f>
        <v/>
      </c>
      <c r="N1814" s="46" t="str">
        <f aca="false">IF(B1814="","",IF(OR(I1814="",I1814="Open: needs a decision",L1814=""),"Open","Closed"))</f>
        <v/>
      </c>
      <c r="O1814" s="46"/>
      <c r="P1814" s="46" t="str">
        <f aca="false">IF(OR(B1814="",I1814&lt;&gt;"Save for a later revision"),"",IF(COUNTIF('Deferred edits'!$K$2:$K$201,A1814)&gt;0,"Yes","● Add to Deferred edits"))</f>
        <v/>
      </c>
    </row>
    <row r="1815" customFormat="false" ht="15" hidden="false" customHeight="false" outlineLevel="0" collapsed="false">
      <c r="A1815" s="46" t="s">
        <v>2110</v>
      </c>
      <c r="B1815" s="46"/>
      <c r="C1815" s="46"/>
      <c r="D1815" s="46"/>
      <c r="E1815" s="46"/>
      <c r="F1815" s="46"/>
      <c r="G1815" s="46"/>
      <c r="H1815" s="46"/>
      <c r="I1815" s="46"/>
      <c r="J1815" s="46"/>
      <c r="K1815" s="46"/>
      <c r="L1815" s="46"/>
      <c r="M1815" s="46" t="str">
        <f aca="false">IF(OR(B1815="",I1815=""),"",IFERROR(INDEX('Comment flow'!$C$40:$C$46,MATCH(I1815,'Comment flow'!$A$40:$A$46,0)),""))</f>
        <v/>
      </c>
      <c r="N1815" s="46" t="str">
        <f aca="false">IF(B1815="","",IF(OR(I1815="",I1815="Open: needs a decision",L1815=""),"Open","Closed"))</f>
        <v/>
      </c>
      <c r="O1815" s="46"/>
      <c r="P1815" s="46" t="str">
        <f aca="false">IF(OR(B1815="",I1815&lt;&gt;"Save for a later revision"),"",IF(COUNTIF('Deferred edits'!$K$2:$K$201,A1815)&gt;0,"Yes","● Add to Deferred edits"))</f>
        <v/>
      </c>
    </row>
    <row r="1816" customFormat="false" ht="15" hidden="false" customHeight="false" outlineLevel="0" collapsed="false">
      <c r="A1816" s="46" t="s">
        <v>2111</v>
      </c>
      <c r="B1816" s="46"/>
      <c r="C1816" s="46"/>
      <c r="D1816" s="46"/>
      <c r="E1816" s="46"/>
      <c r="F1816" s="46"/>
      <c r="G1816" s="46"/>
      <c r="H1816" s="46"/>
      <c r="I1816" s="46"/>
      <c r="J1816" s="46"/>
      <c r="K1816" s="46"/>
      <c r="L1816" s="46"/>
      <c r="M1816" s="46" t="str">
        <f aca="false">IF(OR(B1816="",I1816=""),"",IFERROR(INDEX('Comment flow'!$C$40:$C$46,MATCH(I1816,'Comment flow'!$A$40:$A$46,0)),""))</f>
        <v/>
      </c>
      <c r="N1816" s="46" t="str">
        <f aca="false">IF(B1816="","",IF(OR(I1816="",I1816="Open: needs a decision",L1816=""),"Open","Closed"))</f>
        <v/>
      </c>
      <c r="O1816" s="46"/>
      <c r="P1816" s="46" t="str">
        <f aca="false">IF(OR(B1816="",I1816&lt;&gt;"Save for a later revision"),"",IF(COUNTIF('Deferred edits'!$K$2:$K$201,A1816)&gt;0,"Yes","● Add to Deferred edits"))</f>
        <v/>
      </c>
    </row>
    <row r="1817" customFormat="false" ht="15" hidden="false" customHeight="false" outlineLevel="0" collapsed="false">
      <c r="A1817" s="46" t="s">
        <v>2112</v>
      </c>
      <c r="B1817" s="46"/>
      <c r="C1817" s="46"/>
      <c r="D1817" s="46"/>
      <c r="E1817" s="46"/>
      <c r="F1817" s="46"/>
      <c r="G1817" s="46"/>
      <c r="H1817" s="46"/>
      <c r="I1817" s="46"/>
      <c r="J1817" s="46"/>
      <c r="K1817" s="46"/>
      <c r="L1817" s="46"/>
      <c r="M1817" s="46" t="str">
        <f aca="false">IF(OR(B1817="",I1817=""),"",IFERROR(INDEX('Comment flow'!$C$40:$C$46,MATCH(I1817,'Comment flow'!$A$40:$A$46,0)),""))</f>
        <v/>
      </c>
      <c r="N1817" s="46" t="str">
        <f aca="false">IF(B1817="","",IF(OR(I1817="",I1817="Open: needs a decision",L1817=""),"Open","Closed"))</f>
        <v/>
      </c>
      <c r="O1817" s="46"/>
      <c r="P1817" s="46" t="str">
        <f aca="false">IF(OR(B1817="",I1817&lt;&gt;"Save for a later revision"),"",IF(COUNTIF('Deferred edits'!$K$2:$K$201,A1817)&gt;0,"Yes","● Add to Deferred edits"))</f>
        <v/>
      </c>
    </row>
    <row r="1818" customFormat="false" ht="15" hidden="false" customHeight="false" outlineLevel="0" collapsed="false">
      <c r="A1818" s="46" t="s">
        <v>2113</v>
      </c>
      <c r="B1818" s="46"/>
      <c r="C1818" s="46"/>
      <c r="D1818" s="46"/>
      <c r="E1818" s="46"/>
      <c r="F1818" s="46"/>
      <c r="G1818" s="46"/>
      <c r="H1818" s="46"/>
      <c r="I1818" s="46"/>
      <c r="J1818" s="46"/>
      <c r="K1818" s="46"/>
      <c r="L1818" s="46"/>
      <c r="M1818" s="46" t="str">
        <f aca="false">IF(OR(B1818="",I1818=""),"",IFERROR(INDEX('Comment flow'!$C$40:$C$46,MATCH(I1818,'Comment flow'!$A$40:$A$46,0)),""))</f>
        <v/>
      </c>
      <c r="N1818" s="46" t="str">
        <f aca="false">IF(B1818="","",IF(OR(I1818="",I1818="Open: needs a decision",L1818=""),"Open","Closed"))</f>
        <v/>
      </c>
      <c r="O1818" s="46"/>
      <c r="P1818" s="46" t="str">
        <f aca="false">IF(OR(B1818="",I1818&lt;&gt;"Save for a later revision"),"",IF(COUNTIF('Deferred edits'!$K$2:$K$201,A1818)&gt;0,"Yes","● Add to Deferred edits"))</f>
        <v/>
      </c>
    </row>
    <row r="1819" customFormat="false" ht="15" hidden="false" customHeight="false" outlineLevel="0" collapsed="false">
      <c r="A1819" s="46" t="s">
        <v>2114</v>
      </c>
      <c r="B1819" s="46"/>
      <c r="C1819" s="46"/>
      <c r="D1819" s="46"/>
      <c r="E1819" s="46"/>
      <c r="F1819" s="46"/>
      <c r="G1819" s="46"/>
      <c r="H1819" s="46"/>
      <c r="I1819" s="46"/>
      <c r="J1819" s="46"/>
      <c r="K1819" s="46"/>
      <c r="L1819" s="46"/>
      <c r="M1819" s="46" t="str">
        <f aca="false">IF(OR(B1819="",I1819=""),"",IFERROR(INDEX('Comment flow'!$C$40:$C$46,MATCH(I1819,'Comment flow'!$A$40:$A$46,0)),""))</f>
        <v/>
      </c>
      <c r="N1819" s="46" t="str">
        <f aca="false">IF(B1819="","",IF(OR(I1819="",I1819="Open: needs a decision",L1819=""),"Open","Closed"))</f>
        <v/>
      </c>
      <c r="O1819" s="46"/>
      <c r="P1819" s="46" t="str">
        <f aca="false">IF(OR(B1819="",I1819&lt;&gt;"Save for a later revision"),"",IF(COUNTIF('Deferred edits'!$K$2:$K$201,A1819)&gt;0,"Yes","● Add to Deferred edits"))</f>
        <v/>
      </c>
    </row>
    <row r="1820" customFormat="false" ht="15" hidden="false" customHeight="false" outlineLevel="0" collapsed="false">
      <c r="A1820" s="46" t="s">
        <v>2115</v>
      </c>
      <c r="B1820" s="46"/>
      <c r="C1820" s="46"/>
      <c r="D1820" s="46"/>
      <c r="E1820" s="46"/>
      <c r="F1820" s="46"/>
      <c r="G1820" s="46"/>
      <c r="H1820" s="46"/>
      <c r="I1820" s="46"/>
      <c r="J1820" s="46"/>
      <c r="K1820" s="46"/>
      <c r="L1820" s="46"/>
      <c r="M1820" s="46" t="str">
        <f aca="false">IF(OR(B1820="",I1820=""),"",IFERROR(INDEX('Comment flow'!$C$40:$C$46,MATCH(I1820,'Comment flow'!$A$40:$A$46,0)),""))</f>
        <v/>
      </c>
      <c r="N1820" s="46" t="str">
        <f aca="false">IF(B1820="","",IF(OR(I1820="",I1820="Open: needs a decision",L1820=""),"Open","Closed"))</f>
        <v/>
      </c>
      <c r="O1820" s="46"/>
      <c r="P1820" s="46" t="str">
        <f aca="false">IF(OR(B1820="",I1820&lt;&gt;"Save for a later revision"),"",IF(COUNTIF('Deferred edits'!$K$2:$K$201,A1820)&gt;0,"Yes","● Add to Deferred edits"))</f>
        <v/>
      </c>
    </row>
    <row r="1821" customFormat="false" ht="15" hidden="false" customHeight="false" outlineLevel="0" collapsed="false">
      <c r="A1821" s="46" t="s">
        <v>2116</v>
      </c>
      <c r="B1821" s="46"/>
      <c r="C1821" s="46"/>
      <c r="D1821" s="46"/>
      <c r="E1821" s="46"/>
      <c r="F1821" s="46"/>
      <c r="G1821" s="46"/>
      <c r="H1821" s="46"/>
      <c r="I1821" s="46"/>
      <c r="J1821" s="46"/>
      <c r="K1821" s="46"/>
      <c r="L1821" s="46"/>
      <c r="M1821" s="46" t="str">
        <f aca="false">IF(OR(B1821="",I1821=""),"",IFERROR(INDEX('Comment flow'!$C$40:$C$46,MATCH(I1821,'Comment flow'!$A$40:$A$46,0)),""))</f>
        <v/>
      </c>
      <c r="N1821" s="46" t="str">
        <f aca="false">IF(B1821="","",IF(OR(I1821="",I1821="Open: needs a decision",L1821=""),"Open","Closed"))</f>
        <v/>
      </c>
      <c r="O1821" s="46"/>
      <c r="P1821" s="46" t="str">
        <f aca="false">IF(OR(B1821="",I1821&lt;&gt;"Save for a later revision"),"",IF(COUNTIF('Deferred edits'!$K$2:$K$201,A1821)&gt;0,"Yes","● Add to Deferred edits"))</f>
        <v/>
      </c>
    </row>
    <row r="1822" customFormat="false" ht="15" hidden="false" customHeight="false" outlineLevel="0" collapsed="false">
      <c r="A1822" s="46" t="s">
        <v>2117</v>
      </c>
      <c r="B1822" s="46"/>
      <c r="C1822" s="46"/>
      <c r="D1822" s="46"/>
      <c r="E1822" s="46"/>
      <c r="F1822" s="46"/>
      <c r="G1822" s="46"/>
      <c r="H1822" s="46"/>
      <c r="I1822" s="46"/>
      <c r="J1822" s="46"/>
      <c r="K1822" s="46"/>
      <c r="L1822" s="46"/>
      <c r="M1822" s="46" t="str">
        <f aca="false">IF(OR(B1822="",I1822=""),"",IFERROR(INDEX('Comment flow'!$C$40:$C$46,MATCH(I1822,'Comment flow'!$A$40:$A$46,0)),""))</f>
        <v/>
      </c>
      <c r="N1822" s="46" t="str">
        <f aca="false">IF(B1822="","",IF(OR(I1822="",I1822="Open: needs a decision",L1822=""),"Open","Closed"))</f>
        <v/>
      </c>
      <c r="O1822" s="46"/>
      <c r="P1822" s="46" t="str">
        <f aca="false">IF(OR(B1822="",I1822&lt;&gt;"Save for a later revision"),"",IF(COUNTIF('Deferred edits'!$K$2:$K$201,A1822)&gt;0,"Yes","● Add to Deferred edits"))</f>
        <v/>
      </c>
    </row>
    <row r="1823" customFormat="false" ht="15" hidden="false" customHeight="false" outlineLevel="0" collapsed="false">
      <c r="A1823" s="46" t="s">
        <v>2118</v>
      </c>
      <c r="B1823" s="46"/>
      <c r="C1823" s="46"/>
      <c r="D1823" s="46"/>
      <c r="E1823" s="46"/>
      <c r="F1823" s="46"/>
      <c r="G1823" s="46"/>
      <c r="H1823" s="46"/>
      <c r="I1823" s="46"/>
      <c r="J1823" s="46"/>
      <c r="K1823" s="46"/>
      <c r="L1823" s="46"/>
      <c r="M1823" s="46" t="str">
        <f aca="false">IF(OR(B1823="",I1823=""),"",IFERROR(INDEX('Comment flow'!$C$40:$C$46,MATCH(I1823,'Comment flow'!$A$40:$A$46,0)),""))</f>
        <v/>
      </c>
      <c r="N1823" s="46" t="str">
        <f aca="false">IF(B1823="","",IF(OR(I1823="",I1823="Open: needs a decision",L1823=""),"Open","Closed"))</f>
        <v/>
      </c>
      <c r="O1823" s="46"/>
      <c r="P1823" s="46" t="str">
        <f aca="false">IF(OR(B1823="",I1823&lt;&gt;"Save for a later revision"),"",IF(COUNTIF('Deferred edits'!$K$2:$K$201,A1823)&gt;0,"Yes","● Add to Deferred edits"))</f>
        <v/>
      </c>
    </row>
    <row r="1824" customFormat="false" ht="15" hidden="false" customHeight="false" outlineLevel="0" collapsed="false">
      <c r="A1824" s="46" t="s">
        <v>2119</v>
      </c>
      <c r="B1824" s="46"/>
      <c r="C1824" s="46"/>
      <c r="D1824" s="46"/>
      <c r="E1824" s="46"/>
      <c r="F1824" s="46"/>
      <c r="G1824" s="46"/>
      <c r="H1824" s="46"/>
      <c r="I1824" s="46"/>
      <c r="J1824" s="46"/>
      <c r="K1824" s="46"/>
      <c r="L1824" s="46"/>
      <c r="M1824" s="46" t="str">
        <f aca="false">IF(OR(B1824="",I1824=""),"",IFERROR(INDEX('Comment flow'!$C$40:$C$46,MATCH(I1824,'Comment flow'!$A$40:$A$46,0)),""))</f>
        <v/>
      </c>
      <c r="N1824" s="46" t="str">
        <f aca="false">IF(B1824="","",IF(OR(I1824="",I1824="Open: needs a decision",L1824=""),"Open","Closed"))</f>
        <v/>
      </c>
      <c r="O1824" s="46"/>
      <c r="P1824" s="46" t="str">
        <f aca="false">IF(OR(B1824="",I1824&lt;&gt;"Save for a later revision"),"",IF(COUNTIF('Deferred edits'!$K$2:$K$201,A1824)&gt;0,"Yes","● Add to Deferred edits"))</f>
        <v/>
      </c>
    </row>
    <row r="1825" customFormat="false" ht="15" hidden="false" customHeight="false" outlineLevel="0" collapsed="false">
      <c r="A1825" s="46" t="s">
        <v>2120</v>
      </c>
      <c r="B1825" s="46"/>
      <c r="C1825" s="46"/>
      <c r="D1825" s="46"/>
      <c r="E1825" s="46"/>
      <c r="F1825" s="46"/>
      <c r="G1825" s="46"/>
      <c r="H1825" s="46"/>
      <c r="I1825" s="46"/>
      <c r="J1825" s="46"/>
      <c r="K1825" s="46"/>
      <c r="L1825" s="46"/>
      <c r="M1825" s="46" t="str">
        <f aca="false">IF(OR(B1825="",I1825=""),"",IFERROR(INDEX('Comment flow'!$C$40:$C$46,MATCH(I1825,'Comment flow'!$A$40:$A$46,0)),""))</f>
        <v/>
      </c>
      <c r="N1825" s="46" t="str">
        <f aca="false">IF(B1825="","",IF(OR(I1825="",I1825="Open: needs a decision",L1825=""),"Open","Closed"))</f>
        <v/>
      </c>
      <c r="O1825" s="46"/>
      <c r="P1825" s="46" t="str">
        <f aca="false">IF(OR(B1825="",I1825&lt;&gt;"Save for a later revision"),"",IF(COUNTIF('Deferred edits'!$K$2:$K$201,A1825)&gt;0,"Yes","● Add to Deferred edits"))</f>
        <v/>
      </c>
    </row>
    <row r="1826" customFormat="false" ht="15" hidden="false" customHeight="false" outlineLevel="0" collapsed="false">
      <c r="A1826" s="46" t="s">
        <v>2121</v>
      </c>
      <c r="B1826" s="46"/>
      <c r="C1826" s="46"/>
      <c r="D1826" s="46"/>
      <c r="E1826" s="46"/>
      <c r="F1826" s="46"/>
      <c r="G1826" s="46"/>
      <c r="H1826" s="46"/>
      <c r="I1826" s="46"/>
      <c r="J1826" s="46"/>
      <c r="K1826" s="46"/>
      <c r="L1826" s="46"/>
      <c r="M1826" s="46" t="str">
        <f aca="false">IF(OR(B1826="",I1826=""),"",IFERROR(INDEX('Comment flow'!$C$40:$C$46,MATCH(I1826,'Comment flow'!$A$40:$A$46,0)),""))</f>
        <v/>
      </c>
      <c r="N1826" s="46" t="str">
        <f aca="false">IF(B1826="","",IF(OR(I1826="",I1826="Open: needs a decision",L1826=""),"Open","Closed"))</f>
        <v/>
      </c>
      <c r="O1826" s="46"/>
      <c r="P1826" s="46" t="str">
        <f aca="false">IF(OR(B1826="",I1826&lt;&gt;"Save for a later revision"),"",IF(COUNTIF('Deferred edits'!$K$2:$K$201,A1826)&gt;0,"Yes","● Add to Deferred edits"))</f>
        <v/>
      </c>
    </row>
    <row r="1827" customFormat="false" ht="15" hidden="false" customHeight="false" outlineLevel="0" collapsed="false">
      <c r="A1827" s="46" t="s">
        <v>2122</v>
      </c>
      <c r="B1827" s="46"/>
      <c r="C1827" s="46"/>
      <c r="D1827" s="46"/>
      <c r="E1827" s="46"/>
      <c r="F1827" s="46"/>
      <c r="G1827" s="46"/>
      <c r="H1827" s="46"/>
      <c r="I1827" s="46"/>
      <c r="J1827" s="46"/>
      <c r="K1827" s="46"/>
      <c r="L1827" s="46"/>
      <c r="M1827" s="46" t="str">
        <f aca="false">IF(OR(B1827="",I1827=""),"",IFERROR(INDEX('Comment flow'!$C$40:$C$46,MATCH(I1827,'Comment flow'!$A$40:$A$46,0)),""))</f>
        <v/>
      </c>
      <c r="N1827" s="46" t="str">
        <f aca="false">IF(B1827="","",IF(OR(I1827="",I1827="Open: needs a decision",L1827=""),"Open","Closed"))</f>
        <v/>
      </c>
      <c r="O1827" s="46"/>
      <c r="P1827" s="46" t="str">
        <f aca="false">IF(OR(B1827="",I1827&lt;&gt;"Save for a later revision"),"",IF(COUNTIF('Deferred edits'!$K$2:$K$201,A1827)&gt;0,"Yes","● Add to Deferred edits"))</f>
        <v/>
      </c>
    </row>
    <row r="1828" customFormat="false" ht="15" hidden="false" customHeight="false" outlineLevel="0" collapsed="false">
      <c r="A1828" s="46" t="s">
        <v>2123</v>
      </c>
      <c r="B1828" s="46"/>
      <c r="C1828" s="46"/>
      <c r="D1828" s="46"/>
      <c r="E1828" s="46"/>
      <c r="F1828" s="46"/>
      <c r="G1828" s="46"/>
      <c r="H1828" s="46"/>
      <c r="I1828" s="46"/>
      <c r="J1828" s="46"/>
      <c r="K1828" s="46"/>
      <c r="L1828" s="46"/>
      <c r="M1828" s="46" t="str">
        <f aca="false">IF(OR(B1828="",I1828=""),"",IFERROR(INDEX('Comment flow'!$C$40:$C$46,MATCH(I1828,'Comment flow'!$A$40:$A$46,0)),""))</f>
        <v/>
      </c>
      <c r="N1828" s="46" t="str">
        <f aca="false">IF(B1828="","",IF(OR(I1828="",I1828="Open: needs a decision",L1828=""),"Open","Closed"))</f>
        <v/>
      </c>
      <c r="O1828" s="46"/>
      <c r="P1828" s="46" t="str">
        <f aca="false">IF(OR(B1828="",I1828&lt;&gt;"Save for a later revision"),"",IF(COUNTIF('Deferred edits'!$K$2:$K$201,A1828)&gt;0,"Yes","● Add to Deferred edits"))</f>
        <v/>
      </c>
    </row>
    <row r="1829" customFormat="false" ht="15" hidden="false" customHeight="false" outlineLevel="0" collapsed="false">
      <c r="A1829" s="46" t="s">
        <v>2124</v>
      </c>
      <c r="B1829" s="46"/>
      <c r="C1829" s="46"/>
      <c r="D1829" s="46"/>
      <c r="E1829" s="46"/>
      <c r="F1829" s="46"/>
      <c r="G1829" s="46"/>
      <c r="H1829" s="46"/>
      <c r="I1829" s="46"/>
      <c r="J1829" s="46"/>
      <c r="K1829" s="46"/>
      <c r="L1829" s="46"/>
      <c r="M1829" s="46" t="str">
        <f aca="false">IF(OR(B1829="",I1829=""),"",IFERROR(INDEX('Comment flow'!$C$40:$C$46,MATCH(I1829,'Comment flow'!$A$40:$A$46,0)),""))</f>
        <v/>
      </c>
      <c r="N1829" s="46" t="str">
        <f aca="false">IF(B1829="","",IF(OR(I1829="",I1829="Open: needs a decision",L1829=""),"Open","Closed"))</f>
        <v/>
      </c>
      <c r="O1829" s="46"/>
      <c r="P1829" s="46" t="str">
        <f aca="false">IF(OR(B1829="",I1829&lt;&gt;"Save for a later revision"),"",IF(COUNTIF('Deferred edits'!$K$2:$K$201,A1829)&gt;0,"Yes","● Add to Deferred edits"))</f>
        <v/>
      </c>
    </row>
    <row r="1830" customFormat="false" ht="15" hidden="false" customHeight="false" outlineLevel="0" collapsed="false">
      <c r="A1830" s="46" t="s">
        <v>2125</v>
      </c>
      <c r="B1830" s="46"/>
      <c r="C1830" s="46"/>
      <c r="D1830" s="46"/>
      <c r="E1830" s="46"/>
      <c r="F1830" s="46"/>
      <c r="G1830" s="46"/>
      <c r="H1830" s="46"/>
      <c r="I1830" s="46"/>
      <c r="J1830" s="46"/>
      <c r="K1830" s="46"/>
      <c r="L1830" s="46"/>
      <c r="M1830" s="46" t="str">
        <f aca="false">IF(OR(B1830="",I1830=""),"",IFERROR(INDEX('Comment flow'!$C$40:$C$46,MATCH(I1830,'Comment flow'!$A$40:$A$46,0)),""))</f>
        <v/>
      </c>
      <c r="N1830" s="46" t="str">
        <f aca="false">IF(B1830="","",IF(OR(I1830="",I1830="Open: needs a decision",L1830=""),"Open","Closed"))</f>
        <v/>
      </c>
      <c r="O1830" s="46"/>
      <c r="P1830" s="46" t="str">
        <f aca="false">IF(OR(B1830="",I1830&lt;&gt;"Save for a later revision"),"",IF(COUNTIF('Deferred edits'!$K$2:$K$201,A1830)&gt;0,"Yes","● Add to Deferred edits"))</f>
        <v/>
      </c>
    </row>
    <row r="1831" customFormat="false" ht="15" hidden="false" customHeight="false" outlineLevel="0" collapsed="false">
      <c r="A1831" s="46" t="s">
        <v>2126</v>
      </c>
      <c r="B1831" s="46"/>
      <c r="C1831" s="46"/>
      <c r="D1831" s="46"/>
      <c r="E1831" s="46"/>
      <c r="F1831" s="46"/>
      <c r="G1831" s="46"/>
      <c r="H1831" s="46"/>
      <c r="I1831" s="46"/>
      <c r="J1831" s="46"/>
      <c r="K1831" s="46"/>
      <c r="L1831" s="46"/>
      <c r="M1831" s="46" t="str">
        <f aca="false">IF(OR(B1831="",I1831=""),"",IFERROR(INDEX('Comment flow'!$C$40:$C$46,MATCH(I1831,'Comment flow'!$A$40:$A$46,0)),""))</f>
        <v/>
      </c>
      <c r="N1831" s="46" t="str">
        <f aca="false">IF(B1831="","",IF(OR(I1831="",I1831="Open: needs a decision",L1831=""),"Open","Closed"))</f>
        <v/>
      </c>
      <c r="O1831" s="46"/>
      <c r="P1831" s="46" t="str">
        <f aca="false">IF(OR(B1831="",I1831&lt;&gt;"Save for a later revision"),"",IF(COUNTIF('Deferred edits'!$K$2:$K$201,A1831)&gt;0,"Yes","● Add to Deferred edits"))</f>
        <v/>
      </c>
    </row>
    <row r="1832" customFormat="false" ht="15" hidden="false" customHeight="false" outlineLevel="0" collapsed="false">
      <c r="A1832" s="46" t="s">
        <v>2127</v>
      </c>
      <c r="B1832" s="46"/>
      <c r="C1832" s="46"/>
      <c r="D1832" s="46"/>
      <c r="E1832" s="46"/>
      <c r="F1832" s="46"/>
      <c r="G1832" s="46"/>
      <c r="H1832" s="46"/>
      <c r="I1832" s="46"/>
      <c r="J1832" s="46"/>
      <c r="K1832" s="46"/>
      <c r="L1832" s="46"/>
      <c r="M1832" s="46" t="str">
        <f aca="false">IF(OR(B1832="",I1832=""),"",IFERROR(INDEX('Comment flow'!$C$40:$C$46,MATCH(I1832,'Comment flow'!$A$40:$A$46,0)),""))</f>
        <v/>
      </c>
      <c r="N1832" s="46" t="str">
        <f aca="false">IF(B1832="","",IF(OR(I1832="",I1832="Open: needs a decision",L1832=""),"Open","Closed"))</f>
        <v/>
      </c>
      <c r="O1832" s="46"/>
      <c r="P1832" s="46" t="str">
        <f aca="false">IF(OR(B1832="",I1832&lt;&gt;"Save for a later revision"),"",IF(COUNTIF('Deferred edits'!$K$2:$K$201,A1832)&gt;0,"Yes","● Add to Deferred edits"))</f>
        <v/>
      </c>
    </row>
    <row r="1833" customFormat="false" ht="15" hidden="false" customHeight="false" outlineLevel="0" collapsed="false">
      <c r="A1833" s="46" t="s">
        <v>2128</v>
      </c>
      <c r="B1833" s="46"/>
      <c r="C1833" s="46"/>
      <c r="D1833" s="46"/>
      <c r="E1833" s="46"/>
      <c r="F1833" s="46"/>
      <c r="G1833" s="46"/>
      <c r="H1833" s="46"/>
      <c r="I1833" s="46"/>
      <c r="J1833" s="46"/>
      <c r="K1833" s="46"/>
      <c r="L1833" s="46"/>
      <c r="M1833" s="46" t="str">
        <f aca="false">IF(OR(B1833="",I1833=""),"",IFERROR(INDEX('Comment flow'!$C$40:$C$46,MATCH(I1833,'Comment flow'!$A$40:$A$46,0)),""))</f>
        <v/>
      </c>
      <c r="N1833" s="46" t="str">
        <f aca="false">IF(B1833="","",IF(OR(I1833="",I1833="Open: needs a decision",L1833=""),"Open","Closed"))</f>
        <v/>
      </c>
      <c r="O1833" s="46"/>
      <c r="P1833" s="46" t="str">
        <f aca="false">IF(OR(B1833="",I1833&lt;&gt;"Save for a later revision"),"",IF(COUNTIF('Deferred edits'!$K$2:$K$201,A1833)&gt;0,"Yes","● Add to Deferred edits"))</f>
        <v/>
      </c>
    </row>
    <row r="1834" customFormat="false" ht="15" hidden="false" customHeight="false" outlineLevel="0" collapsed="false">
      <c r="A1834" s="46" t="s">
        <v>2129</v>
      </c>
      <c r="B1834" s="46"/>
      <c r="C1834" s="46"/>
      <c r="D1834" s="46"/>
      <c r="E1834" s="46"/>
      <c r="F1834" s="46"/>
      <c r="G1834" s="46"/>
      <c r="H1834" s="46"/>
      <c r="I1834" s="46"/>
      <c r="J1834" s="46"/>
      <c r="K1834" s="46"/>
      <c r="L1834" s="46"/>
      <c r="M1834" s="46" t="str">
        <f aca="false">IF(OR(B1834="",I1834=""),"",IFERROR(INDEX('Comment flow'!$C$40:$C$46,MATCH(I1834,'Comment flow'!$A$40:$A$46,0)),""))</f>
        <v/>
      </c>
      <c r="N1834" s="46" t="str">
        <f aca="false">IF(B1834="","",IF(OR(I1834="",I1834="Open: needs a decision",L1834=""),"Open","Closed"))</f>
        <v/>
      </c>
      <c r="O1834" s="46"/>
      <c r="P1834" s="46" t="str">
        <f aca="false">IF(OR(B1834="",I1834&lt;&gt;"Save for a later revision"),"",IF(COUNTIF('Deferred edits'!$K$2:$K$201,A1834)&gt;0,"Yes","● Add to Deferred edits"))</f>
        <v/>
      </c>
    </row>
    <row r="1835" customFormat="false" ht="15" hidden="false" customHeight="false" outlineLevel="0" collapsed="false">
      <c r="A1835" s="46" t="s">
        <v>2130</v>
      </c>
      <c r="B1835" s="46"/>
      <c r="C1835" s="46"/>
      <c r="D1835" s="46"/>
      <c r="E1835" s="46"/>
      <c r="F1835" s="46"/>
      <c r="G1835" s="46"/>
      <c r="H1835" s="46"/>
      <c r="I1835" s="46"/>
      <c r="J1835" s="46"/>
      <c r="K1835" s="46"/>
      <c r="L1835" s="46"/>
      <c r="M1835" s="46" t="str">
        <f aca="false">IF(OR(B1835="",I1835=""),"",IFERROR(INDEX('Comment flow'!$C$40:$C$46,MATCH(I1835,'Comment flow'!$A$40:$A$46,0)),""))</f>
        <v/>
      </c>
      <c r="N1835" s="46" t="str">
        <f aca="false">IF(B1835="","",IF(OR(I1835="",I1835="Open: needs a decision",L1835=""),"Open","Closed"))</f>
        <v/>
      </c>
      <c r="O1835" s="46"/>
      <c r="P1835" s="46" t="str">
        <f aca="false">IF(OR(B1835="",I1835&lt;&gt;"Save for a later revision"),"",IF(COUNTIF('Deferred edits'!$K$2:$K$201,A1835)&gt;0,"Yes","● Add to Deferred edits"))</f>
        <v/>
      </c>
    </row>
    <row r="1836" customFormat="false" ht="15" hidden="false" customHeight="false" outlineLevel="0" collapsed="false">
      <c r="A1836" s="46" t="s">
        <v>2131</v>
      </c>
      <c r="B1836" s="46"/>
      <c r="C1836" s="46"/>
      <c r="D1836" s="46"/>
      <c r="E1836" s="46"/>
      <c r="F1836" s="46"/>
      <c r="G1836" s="46"/>
      <c r="H1836" s="46"/>
      <c r="I1836" s="46"/>
      <c r="J1836" s="46"/>
      <c r="K1836" s="46"/>
      <c r="L1836" s="46"/>
      <c r="M1836" s="46" t="str">
        <f aca="false">IF(OR(B1836="",I1836=""),"",IFERROR(INDEX('Comment flow'!$C$40:$C$46,MATCH(I1836,'Comment flow'!$A$40:$A$46,0)),""))</f>
        <v/>
      </c>
      <c r="N1836" s="46" t="str">
        <f aca="false">IF(B1836="","",IF(OR(I1836="",I1836="Open: needs a decision",L1836=""),"Open","Closed"))</f>
        <v/>
      </c>
      <c r="O1836" s="46"/>
      <c r="P1836" s="46" t="str">
        <f aca="false">IF(OR(B1836="",I1836&lt;&gt;"Save for a later revision"),"",IF(COUNTIF('Deferred edits'!$K$2:$K$201,A1836)&gt;0,"Yes","● Add to Deferred edits"))</f>
        <v/>
      </c>
    </row>
    <row r="1837" customFormat="false" ht="15" hidden="false" customHeight="false" outlineLevel="0" collapsed="false">
      <c r="A1837" s="46" t="s">
        <v>2132</v>
      </c>
      <c r="B1837" s="46"/>
      <c r="C1837" s="46"/>
      <c r="D1837" s="46"/>
      <c r="E1837" s="46"/>
      <c r="F1837" s="46"/>
      <c r="G1837" s="46"/>
      <c r="H1837" s="46"/>
      <c r="I1837" s="46"/>
      <c r="J1837" s="46"/>
      <c r="K1837" s="46"/>
      <c r="L1837" s="46"/>
      <c r="M1837" s="46" t="str">
        <f aca="false">IF(OR(B1837="",I1837=""),"",IFERROR(INDEX('Comment flow'!$C$40:$C$46,MATCH(I1837,'Comment flow'!$A$40:$A$46,0)),""))</f>
        <v/>
      </c>
      <c r="N1837" s="46" t="str">
        <f aca="false">IF(B1837="","",IF(OR(I1837="",I1837="Open: needs a decision",L1837=""),"Open","Closed"))</f>
        <v/>
      </c>
      <c r="O1837" s="46"/>
      <c r="P1837" s="46" t="str">
        <f aca="false">IF(OR(B1837="",I1837&lt;&gt;"Save for a later revision"),"",IF(COUNTIF('Deferred edits'!$K$2:$K$201,A1837)&gt;0,"Yes","● Add to Deferred edits"))</f>
        <v/>
      </c>
    </row>
    <row r="1838" customFormat="false" ht="15" hidden="false" customHeight="false" outlineLevel="0" collapsed="false">
      <c r="A1838" s="46" t="s">
        <v>2133</v>
      </c>
      <c r="B1838" s="46"/>
      <c r="C1838" s="46"/>
      <c r="D1838" s="46"/>
      <c r="E1838" s="46"/>
      <c r="F1838" s="46"/>
      <c r="G1838" s="46"/>
      <c r="H1838" s="46"/>
      <c r="I1838" s="46"/>
      <c r="J1838" s="46"/>
      <c r="K1838" s="46"/>
      <c r="L1838" s="46"/>
      <c r="M1838" s="46" t="str">
        <f aca="false">IF(OR(B1838="",I1838=""),"",IFERROR(INDEX('Comment flow'!$C$40:$C$46,MATCH(I1838,'Comment flow'!$A$40:$A$46,0)),""))</f>
        <v/>
      </c>
      <c r="N1838" s="46" t="str">
        <f aca="false">IF(B1838="","",IF(OR(I1838="",I1838="Open: needs a decision",L1838=""),"Open","Closed"))</f>
        <v/>
      </c>
      <c r="O1838" s="46"/>
      <c r="P1838" s="46" t="str">
        <f aca="false">IF(OR(B1838="",I1838&lt;&gt;"Save for a later revision"),"",IF(COUNTIF('Deferred edits'!$K$2:$K$201,A1838)&gt;0,"Yes","● Add to Deferred edits"))</f>
        <v/>
      </c>
    </row>
    <row r="1839" customFormat="false" ht="15" hidden="false" customHeight="false" outlineLevel="0" collapsed="false">
      <c r="A1839" s="46" t="s">
        <v>2134</v>
      </c>
      <c r="B1839" s="46"/>
      <c r="C1839" s="46"/>
      <c r="D1839" s="46"/>
      <c r="E1839" s="46"/>
      <c r="F1839" s="46"/>
      <c r="G1839" s="46"/>
      <c r="H1839" s="46"/>
      <c r="I1839" s="46"/>
      <c r="J1839" s="46"/>
      <c r="K1839" s="46"/>
      <c r="L1839" s="46"/>
      <c r="M1839" s="46" t="str">
        <f aca="false">IF(OR(B1839="",I1839=""),"",IFERROR(INDEX('Comment flow'!$C$40:$C$46,MATCH(I1839,'Comment flow'!$A$40:$A$46,0)),""))</f>
        <v/>
      </c>
      <c r="N1839" s="46" t="str">
        <f aca="false">IF(B1839="","",IF(OR(I1839="",I1839="Open: needs a decision",L1839=""),"Open","Closed"))</f>
        <v/>
      </c>
      <c r="O1839" s="46"/>
      <c r="P1839" s="46" t="str">
        <f aca="false">IF(OR(B1839="",I1839&lt;&gt;"Save for a later revision"),"",IF(COUNTIF('Deferred edits'!$K$2:$K$201,A1839)&gt;0,"Yes","● Add to Deferred edits"))</f>
        <v/>
      </c>
    </row>
    <row r="1840" customFormat="false" ht="15" hidden="false" customHeight="false" outlineLevel="0" collapsed="false">
      <c r="A1840" s="46" t="s">
        <v>2135</v>
      </c>
      <c r="B1840" s="46"/>
      <c r="C1840" s="46"/>
      <c r="D1840" s="46"/>
      <c r="E1840" s="46"/>
      <c r="F1840" s="46"/>
      <c r="G1840" s="46"/>
      <c r="H1840" s="46"/>
      <c r="I1840" s="46"/>
      <c r="J1840" s="46"/>
      <c r="K1840" s="46"/>
      <c r="L1840" s="46"/>
      <c r="M1840" s="46" t="str">
        <f aca="false">IF(OR(B1840="",I1840=""),"",IFERROR(INDEX('Comment flow'!$C$40:$C$46,MATCH(I1840,'Comment flow'!$A$40:$A$46,0)),""))</f>
        <v/>
      </c>
      <c r="N1840" s="46" t="str">
        <f aca="false">IF(B1840="","",IF(OR(I1840="",I1840="Open: needs a decision",L1840=""),"Open","Closed"))</f>
        <v/>
      </c>
      <c r="O1840" s="46"/>
      <c r="P1840" s="46" t="str">
        <f aca="false">IF(OR(B1840="",I1840&lt;&gt;"Save for a later revision"),"",IF(COUNTIF('Deferred edits'!$K$2:$K$201,A1840)&gt;0,"Yes","● Add to Deferred edits"))</f>
        <v/>
      </c>
    </row>
    <row r="1841" customFormat="false" ht="15" hidden="false" customHeight="false" outlineLevel="0" collapsed="false">
      <c r="A1841" s="46" t="s">
        <v>2136</v>
      </c>
      <c r="B1841" s="46"/>
      <c r="C1841" s="46"/>
      <c r="D1841" s="46"/>
      <c r="E1841" s="46"/>
      <c r="F1841" s="46"/>
      <c r="G1841" s="46"/>
      <c r="H1841" s="46"/>
      <c r="I1841" s="46"/>
      <c r="J1841" s="46"/>
      <c r="K1841" s="46"/>
      <c r="L1841" s="46"/>
      <c r="M1841" s="46" t="str">
        <f aca="false">IF(OR(B1841="",I1841=""),"",IFERROR(INDEX('Comment flow'!$C$40:$C$46,MATCH(I1841,'Comment flow'!$A$40:$A$46,0)),""))</f>
        <v/>
      </c>
      <c r="N1841" s="46" t="str">
        <f aca="false">IF(B1841="","",IF(OR(I1841="",I1841="Open: needs a decision",L1841=""),"Open","Closed"))</f>
        <v/>
      </c>
      <c r="O1841" s="46"/>
      <c r="P1841" s="46" t="str">
        <f aca="false">IF(OR(B1841="",I1841&lt;&gt;"Save for a later revision"),"",IF(COUNTIF('Deferred edits'!$K$2:$K$201,A1841)&gt;0,"Yes","● Add to Deferred edits"))</f>
        <v/>
      </c>
    </row>
    <row r="1842" customFormat="false" ht="15" hidden="false" customHeight="false" outlineLevel="0" collapsed="false">
      <c r="A1842" s="46" t="s">
        <v>2137</v>
      </c>
      <c r="B1842" s="46"/>
      <c r="C1842" s="46"/>
      <c r="D1842" s="46"/>
      <c r="E1842" s="46"/>
      <c r="F1842" s="46"/>
      <c r="G1842" s="46"/>
      <c r="H1842" s="46"/>
      <c r="I1842" s="46"/>
      <c r="J1842" s="46"/>
      <c r="K1842" s="46"/>
      <c r="L1842" s="46"/>
      <c r="M1842" s="46" t="str">
        <f aca="false">IF(OR(B1842="",I1842=""),"",IFERROR(INDEX('Comment flow'!$C$40:$C$46,MATCH(I1842,'Comment flow'!$A$40:$A$46,0)),""))</f>
        <v/>
      </c>
      <c r="N1842" s="46" t="str">
        <f aca="false">IF(B1842="","",IF(OR(I1842="",I1842="Open: needs a decision",L1842=""),"Open","Closed"))</f>
        <v/>
      </c>
      <c r="O1842" s="46"/>
      <c r="P1842" s="46" t="str">
        <f aca="false">IF(OR(B1842="",I1842&lt;&gt;"Save for a later revision"),"",IF(COUNTIF('Deferred edits'!$K$2:$K$201,A1842)&gt;0,"Yes","● Add to Deferred edits"))</f>
        <v/>
      </c>
    </row>
    <row r="1843" customFormat="false" ht="15" hidden="false" customHeight="false" outlineLevel="0" collapsed="false">
      <c r="A1843" s="46" t="s">
        <v>2138</v>
      </c>
      <c r="B1843" s="46"/>
      <c r="C1843" s="46"/>
      <c r="D1843" s="46"/>
      <c r="E1843" s="46"/>
      <c r="F1843" s="46"/>
      <c r="G1843" s="46"/>
      <c r="H1843" s="46"/>
      <c r="I1843" s="46"/>
      <c r="J1843" s="46"/>
      <c r="K1843" s="46"/>
      <c r="L1843" s="46"/>
      <c r="M1843" s="46" t="str">
        <f aca="false">IF(OR(B1843="",I1843=""),"",IFERROR(INDEX('Comment flow'!$C$40:$C$46,MATCH(I1843,'Comment flow'!$A$40:$A$46,0)),""))</f>
        <v/>
      </c>
      <c r="N1843" s="46" t="str">
        <f aca="false">IF(B1843="","",IF(OR(I1843="",I1843="Open: needs a decision",L1843=""),"Open","Closed"))</f>
        <v/>
      </c>
      <c r="O1843" s="46"/>
      <c r="P1843" s="46" t="str">
        <f aca="false">IF(OR(B1843="",I1843&lt;&gt;"Save for a later revision"),"",IF(COUNTIF('Deferred edits'!$K$2:$K$201,A1843)&gt;0,"Yes","● Add to Deferred edits"))</f>
        <v/>
      </c>
    </row>
    <row r="1844" customFormat="false" ht="15" hidden="false" customHeight="false" outlineLevel="0" collapsed="false">
      <c r="A1844" s="46" t="s">
        <v>2139</v>
      </c>
      <c r="B1844" s="46"/>
      <c r="C1844" s="46"/>
      <c r="D1844" s="46"/>
      <c r="E1844" s="46"/>
      <c r="F1844" s="46"/>
      <c r="G1844" s="46"/>
      <c r="H1844" s="46"/>
      <c r="I1844" s="46"/>
      <c r="J1844" s="46"/>
      <c r="K1844" s="46"/>
      <c r="L1844" s="46"/>
      <c r="M1844" s="46" t="str">
        <f aca="false">IF(OR(B1844="",I1844=""),"",IFERROR(INDEX('Comment flow'!$C$40:$C$46,MATCH(I1844,'Comment flow'!$A$40:$A$46,0)),""))</f>
        <v/>
      </c>
      <c r="N1844" s="46" t="str">
        <f aca="false">IF(B1844="","",IF(OR(I1844="",I1844="Open: needs a decision",L1844=""),"Open","Closed"))</f>
        <v/>
      </c>
      <c r="O1844" s="46"/>
      <c r="P1844" s="46" t="str">
        <f aca="false">IF(OR(B1844="",I1844&lt;&gt;"Save for a later revision"),"",IF(COUNTIF('Deferred edits'!$K$2:$K$201,A1844)&gt;0,"Yes","● Add to Deferred edits"))</f>
        <v/>
      </c>
    </row>
    <row r="1845" customFormat="false" ht="15" hidden="false" customHeight="false" outlineLevel="0" collapsed="false">
      <c r="A1845" s="46" t="s">
        <v>2140</v>
      </c>
      <c r="B1845" s="46"/>
      <c r="C1845" s="46"/>
      <c r="D1845" s="46"/>
      <c r="E1845" s="46"/>
      <c r="F1845" s="46"/>
      <c r="G1845" s="46"/>
      <c r="H1845" s="46"/>
      <c r="I1845" s="46"/>
      <c r="J1845" s="46"/>
      <c r="K1845" s="46"/>
      <c r="L1845" s="46"/>
      <c r="M1845" s="46" t="str">
        <f aca="false">IF(OR(B1845="",I1845=""),"",IFERROR(INDEX('Comment flow'!$C$40:$C$46,MATCH(I1845,'Comment flow'!$A$40:$A$46,0)),""))</f>
        <v/>
      </c>
      <c r="N1845" s="46" t="str">
        <f aca="false">IF(B1845="","",IF(OR(I1845="",I1845="Open: needs a decision",L1845=""),"Open","Closed"))</f>
        <v/>
      </c>
      <c r="O1845" s="46"/>
      <c r="P1845" s="46" t="str">
        <f aca="false">IF(OR(B1845="",I1845&lt;&gt;"Save for a later revision"),"",IF(COUNTIF('Deferred edits'!$K$2:$K$201,A1845)&gt;0,"Yes","● Add to Deferred edits"))</f>
        <v/>
      </c>
    </row>
    <row r="1846" customFormat="false" ht="15" hidden="false" customHeight="false" outlineLevel="0" collapsed="false">
      <c r="A1846" s="46" t="s">
        <v>2141</v>
      </c>
      <c r="B1846" s="46"/>
      <c r="C1846" s="46"/>
      <c r="D1846" s="46"/>
      <c r="E1846" s="46"/>
      <c r="F1846" s="46"/>
      <c r="G1846" s="46"/>
      <c r="H1846" s="46"/>
      <c r="I1846" s="46"/>
      <c r="J1846" s="46"/>
      <c r="K1846" s="46"/>
      <c r="L1846" s="46"/>
      <c r="M1846" s="46" t="str">
        <f aca="false">IF(OR(B1846="",I1846=""),"",IFERROR(INDEX('Comment flow'!$C$40:$C$46,MATCH(I1846,'Comment flow'!$A$40:$A$46,0)),""))</f>
        <v/>
      </c>
      <c r="N1846" s="46" t="str">
        <f aca="false">IF(B1846="","",IF(OR(I1846="",I1846="Open: needs a decision",L1846=""),"Open","Closed"))</f>
        <v/>
      </c>
      <c r="O1846" s="46"/>
      <c r="P1846" s="46" t="str">
        <f aca="false">IF(OR(B1846="",I1846&lt;&gt;"Save for a later revision"),"",IF(COUNTIF('Deferred edits'!$K$2:$K$201,A1846)&gt;0,"Yes","● Add to Deferred edits"))</f>
        <v/>
      </c>
    </row>
    <row r="1847" customFormat="false" ht="15" hidden="false" customHeight="false" outlineLevel="0" collapsed="false">
      <c r="A1847" s="46" t="s">
        <v>2142</v>
      </c>
      <c r="B1847" s="46"/>
      <c r="C1847" s="46"/>
      <c r="D1847" s="46"/>
      <c r="E1847" s="46"/>
      <c r="F1847" s="46"/>
      <c r="G1847" s="46"/>
      <c r="H1847" s="46"/>
      <c r="I1847" s="46"/>
      <c r="J1847" s="46"/>
      <c r="K1847" s="46"/>
      <c r="L1847" s="46"/>
      <c r="M1847" s="46" t="str">
        <f aca="false">IF(OR(B1847="",I1847=""),"",IFERROR(INDEX('Comment flow'!$C$40:$C$46,MATCH(I1847,'Comment flow'!$A$40:$A$46,0)),""))</f>
        <v/>
      </c>
      <c r="N1847" s="46" t="str">
        <f aca="false">IF(B1847="","",IF(OR(I1847="",I1847="Open: needs a decision",L1847=""),"Open","Closed"))</f>
        <v/>
      </c>
      <c r="O1847" s="46"/>
      <c r="P1847" s="46" t="str">
        <f aca="false">IF(OR(B1847="",I1847&lt;&gt;"Save for a later revision"),"",IF(COUNTIF('Deferred edits'!$K$2:$K$201,A1847)&gt;0,"Yes","● Add to Deferred edits"))</f>
        <v/>
      </c>
    </row>
    <row r="1848" customFormat="false" ht="15" hidden="false" customHeight="false" outlineLevel="0" collapsed="false">
      <c r="A1848" s="46" t="s">
        <v>2143</v>
      </c>
      <c r="B1848" s="46"/>
      <c r="C1848" s="46"/>
      <c r="D1848" s="46"/>
      <c r="E1848" s="46"/>
      <c r="F1848" s="46"/>
      <c r="G1848" s="46"/>
      <c r="H1848" s="46"/>
      <c r="I1848" s="46"/>
      <c r="J1848" s="46"/>
      <c r="K1848" s="46"/>
      <c r="L1848" s="46"/>
      <c r="M1848" s="46" t="str">
        <f aca="false">IF(OR(B1848="",I1848=""),"",IFERROR(INDEX('Comment flow'!$C$40:$C$46,MATCH(I1848,'Comment flow'!$A$40:$A$46,0)),""))</f>
        <v/>
      </c>
      <c r="N1848" s="46" t="str">
        <f aca="false">IF(B1848="","",IF(OR(I1848="",I1848="Open: needs a decision",L1848=""),"Open","Closed"))</f>
        <v/>
      </c>
      <c r="O1848" s="46"/>
      <c r="P1848" s="46" t="str">
        <f aca="false">IF(OR(B1848="",I1848&lt;&gt;"Save for a later revision"),"",IF(COUNTIF('Deferred edits'!$K$2:$K$201,A1848)&gt;0,"Yes","● Add to Deferred edits"))</f>
        <v/>
      </c>
    </row>
    <row r="1849" customFormat="false" ht="15" hidden="false" customHeight="false" outlineLevel="0" collapsed="false">
      <c r="A1849" s="46" t="s">
        <v>2144</v>
      </c>
      <c r="B1849" s="46"/>
      <c r="C1849" s="46"/>
      <c r="D1849" s="46"/>
      <c r="E1849" s="46"/>
      <c r="F1849" s="46"/>
      <c r="G1849" s="46"/>
      <c r="H1849" s="46"/>
      <c r="I1849" s="46"/>
      <c r="J1849" s="46"/>
      <c r="K1849" s="46"/>
      <c r="L1849" s="46"/>
      <c r="M1849" s="46" t="str">
        <f aca="false">IF(OR(B1849="",I1849=""),"",IFERROR(INDEX('Comment flow'!$C$40:$C$46,MATCH(I1849,'Comment flow'!$A$40:$A$46,0)),""))</f>
        <v/>
      </c>
      <c r="N1849" s="46" t="str">
        <f aca="false">IF(B1849="","",IF(OR(I1849="",I1849="Open: needs a decision",L1849=""),"Open","Closed"))</f>
        <v/>
      </c>
      <c r="O1849" s="46"/>
      <c r="P1849" s="46" t="str">
        <f aca="false">IF(OR(B1849="",I1849&lt;&gt;"Save for a later revision"),"",IF(COUNTIF('Deferred edits'!$K$2:$K$201,A1849)&gt;0,"Yes","● Add to Deferred edits"))</f>
        <v/>
      </c>
    </row>
    <row r="1850" customFormat="false" ht="15" hidden="false" customHeight="false" outlineLevel="0" collapsed="false">
      <c r="A1850" s="46" t="s">
        <v>2145</v>
      </c>
      <c r="B1850" s="46"/>
      <c r="C1850" s="46"/>
      <c r="D1850" s="46"/>
      <c r="E1850" s="46"/>
      <c r="F1850" s="46"/>
      <c r="G1850" s="46"/>
      <c r="H1850" s="46"/>
      <c r="I1850" s="46"/>
      <c r="J1850" s="46"/>
      <c r="K1850" s="46"/>
      <c r="L1850" s="46"/>
      <c r="M1850" s="46" t="str">
        <f aca="false">IF(OR(B1850="",I1850=""),"",IFERROR(INDEX('Comment flow'!$C$40:$C$46,MATCH(I1850,'Comment flow'!$A$40:$A$46,0)),""))</f>
        <v/>
      </c>
      <c r="N1850" s="46" t="str">
        <f aca="false">IF(B1850="","",IF(OR(I1850="",I1850="Open: needs a decision",L1850=""),"Open","Closed"))</f>
        <v/>
      </c>
      <c r="O1850" s="46"/>
      <c r="P1850" s="46" t="str">
        <f aca="false">IF(OR(B1850="",I1850&lt;&gt;"Save for a later revision"),"",IF(COUNTIF('Deferred edits'!$K$2:$K$201,A1850)&gt;0,"Yes","● Add to Deferred edits"))</f>
        <v/>
      </c>
    </row>
    <row r="1851" customFormat="false" ht="15" hidden="false" customHeight="false" outlineLevel="0" collapsed="false">
      <c r="A1851" s="46" t="s">
        <v>2146</v>
      </c>
      <c r="B1851" s="46"/>
      <c r="C1851" s="46"/>
      <c r="D1851" s="46"/>
      <c r="E1851" s="46"/>
      <c r="F1851" s="46"/>
      <c r="G1851" s="46"/>
      <c r="H1851" s="46"/>
      <c r="I1851" s="46"/>
      <c r="J1851" s="46"/>
      <c r="K1851" s="46"/>
      <c r="L1851" s="46"/>
      <c r="M1851" s="46" t="str">
        <f aca="false">IF(OR(B1851="",I1851=""),"",IFERROR(INDEX('Comment flow'!$C$40:$C$46,MATCH(I1851,'Comment flow'!$A$40:$A$46,0)),""))</f>
        <v/>
      </c>
      <c r="N1851" s="46" t="str">
        <f aca="false">IF(B1851="","",IF(OR(I1851="",I1851="Open: needs a decision",L1851=""),"Open","Closed"))</f>
        <v/>
      </c>
      <c r="O1851" s="46"/>
      <c r="P1851" s="46" t="str">
        <f aca="false">IF(OR(B1851="",I1851&lt;&gt;"Save for a later revision"),"",IF(COUNTIF('Deferred edits'!$K$2:$K$201,A1851)&gt;0,"Yes","● Add to Deferred edits"))</f>
        <v/>
      </c>
    </row>
    <row r="1852" customFormat="false" ht="15" hidden="false" customHeight="false" outlineLevel="0" collapsed="false">
      <c r="A1852" s="46" t="s">
        <v>2147</v>
      </c>
      <c r="B1852" s="46"/>
      <c r="C1852" s="46"/>
      <c r="D1852" s="46"/>
      <c r="E1852" s="46"/>
      <c r="F1852" s="46"/>
      <c r="G1852" s="46"/>
      <c r="H1852" s="46"/>
      <c r="I1852" s="46"/>
      <c r="J1852" s="46"/>
      <c r="K1852" s="46"/>
      <c r="L1852" s="46"/>
      <c r="M1852" s="46" t="str">
        <f aca="false">IF(OR(B1852="",I1852=""),"",IFERROR(INDEX('Comment flow'!$C$40:$C$46,MATCH(I1852,'Comment flow'!$A$40:$A$46,0)),""))</f>
        <v/>
      </c>
      <c r="N1852" s="46" t="str">
        <f aca="false">IF(B1852="","",IF(OR(I1852="",I1852="Open: needs a decision",L1852=""),"Open","Closed"))</f>
        <v/>
      </c>
      <c r="O1852" s="46"/>
      <c r="P1852" s="46" t="str">
        <f aca="false">IF(OR(B1852="",I1852&lt;&gt;"Save for a later revision"),"",IF(COUNTIF('Deferred edits'!$K$2:$K$201,A1852)&gt;0,"Yes","● Add to Deferred edits"))</f>
        <v/>
      </c>
    </row>
    <row r="1853" customFormat="false" ht="15" hidden="false" customHeight="false" outlineLevel="0" collapsed="false">
      <c r="A1853" s="46" t="s">
        <v>2148</v>
      </c>
      <c r="B1853" s="46"/>
      <c r="C1853" s="46"/>
      <c r="D1853" s="46"/>
      <c r="E1853" s="46"/>
      <c r="F1853" s="46"/>
      <c r="G1853" s="46"/>
      <c r="H1853" s="46"/>
      <c r="I1853" s="46"/>
      <c r="J1853" s="46"/>
      <c r="K1853" s="46"/>
      <c r="L1853" s="46"/>
      <c r="M1853" s="46" t="str">
        <f aca="false">IF(OR(B1853="",I1853=""),"",IFERROR(INDEX('Comment flow'!$C$40:$C$46,MATCH(I1853,'Comment flow'!$A$40:$A$46,0)),""))</f>
        <v/>
      </c>
      <c r="N1853" s="46" t="str">
        <f aca="false">IF(B1853="","",IF(OR(I1853="",I1853="Open: needs a decision",L1853=""),"Open","Closed"))</f>
        <v/>
      </c>
      <c r="O1853" s="46"/>
      <c r="P1853" s="46" t="str">
        <f aca="false">IF(OR(B1853="",I1853&lt;&gt;"Save for a later revision"),"",IF(COUNTIF('Deferred edits'!$K$2:$K$201,A1853)&gt;0,"Yes","● Add to Deferred edits"))</f>
        <v/>
      </c>
    </row>
    <row r="1854" customFormat="false" ht="15" hidden="false" customHeight="false" outlineLevel="0" collapsed="false">
      <c r="A1854" s="46" t="s">
        <v>2149</v>
      </c>
      <c r="B1854" s="46"/>
      <c r="C1854" s="46"/>
      <c r="D1854" s="46"/>
      <c r="E1854" s="46"/>
      <c r="F1854" s="46"/>
      <c r="G1854" s="46"/>
      <c r="H1854" s="46"/>
      <c r="I1854" s="46"/>
      <c r="J1854" s="46"/>
      <c r="K1854" s="46"/>
      <c r="L1854" s="46"/>
      <c r="M1854" s="46" t="str">
        <f aca="false">IF(OR(B1854="",I1854=""),"",IFERROR(INDEX('Comment flow'!$C$40:$C$46,MATCH(I1854,'Comment flow'!$A$40:$A$46,0)),""))</f>
        <v/>
      </c>
      <c r="N1854" s="46" t="str">
        <f aca="false">IF(B1854="","",IF(OR(I1854="",I1854="Open: needs a decision",L1854=""),"Open","Closed"))</f>
        <v/>
      </c>
      <c r="O1854" s="46"/>
      <c r="P1854" s="46" t="str">
        <f aca="false">IF(OR(B1854="",I1854&lt;&gt;"Save for a later revision"),"",IF(COUNTIF('Deferred edits'!$K$2:$K$201,A1854)&gt;0,"Yes","● Add to Deferred edits"))</f>
        <v/>
      </c>
    </row>
    <row r="1855" customFormat="false" ht="15" hidden="false" customHeight="false" outlineLevel="0" collapsed="false">
      <c r="A1855" s="46" t="s">
        <v>2150</v>
      </c>
      <c r="B1855" s="46"/>
      <c r="C1855" s="46"/>
      <c r="D1855" s="46"/>
      <c r="E1855" s="46"/>
      <c r="F1855" s="46"/>
      <c r="G1855" s="46"/>
      <c r="H1855" s="46"/>
      <c r="I1855" s="46"/>
      <c r="J1855" s="46"/>
      <c r="K1855" s="46"/>
      <c r="L1855" s="46"/>
      <c r="M1855" s="46" t="str">
        <f aca="false">IF(OR(B1855="",I1855=""),"",IFERROR(INDEX('Comment flow'!$C$40:$C$46,MATCH(I1855,'Comment flow'!$A$40:$A$46,0)),""))</f>
        <v/>
      </c>
      <c r="N1855" s="46" t="str">
        <f aca="false">IF(B1855="","",IF(OR(I1855="",I1855="Open: needs a decision",L1855=""),"Open","Closed"))</f>
        <v/>
      </c>
      <c r="O1855" s="46"/>
      <c r="P1855" s="46" t="str">
        <f aca="false">IF(OR(B1855="",I1855&lt;&gt;"Save for a later revision"),"",IF(COUNTIF('Deferred edits'!$K$2:$K$201,A1855)&gt;0,"Yes","● Add to Deferred edits"))</f>
        <v/>
      </c>
    </row>
    <row r="1856" customFormat="false" ht="15" hidden="false" customHeight="false" outlineLevel="0" collapsed="false">
      <c r="A1856" s="46" t="s">
        <v>2151</v>
      </c>
      <c r="B1856" s="46"/>
      <c r="C1856" s="46"/>
      <c r="D1856" s="46"/>
      <c r="E1856" s="46"/>
      <c r="F1856" s="46"/>
      <c r="G1856" s="46"/>
      <c r="H1856" s="46"/>
      <c r="I1856" s="46"/>
      <c r="J1856" s="46"/>
      <c r="K1856" s="46"/>
      <c r="L1856" s="46"/>
      <c r="M1856" s="46" t="str">
        <f aca="false">IF(OR(B1856="",I1856=""),"",IFERROR(INDEX('Comment flow'!$C$40:$C$46,MATCH(I1856,'Comment flow'!$A$40:$A$46,0)),""))</f>
        <v/>
      </c>
      <c r="N1856" s="46" t="str">
        <f aca="false">IF(B1856="","",IF(OR(I1856="",I1856="Open: needs a decision",L1856=""),"Open","Closed"))</f>
        <v/>
      </c>
      <c r="O1856" s="46"/>
      <c r="P1856" s="46" t="str">
        <f aca="false">IF(OR(B1856="",I1856&lt;&gt;"Save for a later revision"),"",IF(COUNTIF('Deferred edits'!$K$2:$K$201,A1856)&gt;0,"Yes","● Add to Deferred edits"))</f>
        <v/>
      </c>
    </row>
    <row r="1857" customFormat="false" ht="15" hidden="false" customHeight="false" outlineLevel="0" collapsed="false">
      <c r="A1857" s="46" t="s">
        <v>2152</v>
      </c>
      <c r="B1857" s="46"/>
      <c r="C1857" s="46"/>
      <c r="D1857" s="46"/>
      <c r="E1857" s="46"/>
      <c r="F1857" s="46"/>
      <c r="G1857" s="46"/>
      <c r="H1857" s="46"/>
      <c r="I1857" s="46"/>
      <c r="J1857" s="46"/>
      <c r="K1857" s="46"/>
      <c r="L1857" s="46"/>
      <c r="M1857" s="46" t="str">
        <f aca="false">IF(OR(B1857="",I1857=""),"",IFERROR(INDEX('Comment flow'!$C$40:$C$46,MATCH(I1857,'Comment flow'!$A$40:$A$46,0)),""))</f>
        <v/>
      </c>
      <c r="N1857" s="46" t="str">
        <f aca="false">IF(B1857="","",IF(OR(I1857="",I1857="Open: needs a decision",L1857=""),"Open","Closed"))</f>
        <v/>
      </c>
      <c r="O1857" s="46"/>
      <c r="P1857" s="46" t="str">
        <f aca="false">IF(OR(B1857="",I1857&lt;&gt;"Save for a later revision"),"",IF(COUNTIF('Deferred edits'!$K$2:$K$201,A1857)&gt;0,"Yes","● Add to Deferred edits"))</f>
        <v/>
      </c>
    </row>
    <row r="1858" customFormat="false" ht="15" hidden="false" customHeight="false" outlineLevel="0" collapsed="false">
      <c r="A1858" s="46" t="s">
        <v>2153</v>
      </c>
      <c r="B1858" s="46"/>
      <c r="C1858" s="46"/>
      <c r="D1858" s="46"/>
      <c r="E1858" s="46"/>
      <c r="F1858" s="46"/>
      <c r="G1858" s="46"/>
      <c r="H1858" s="46"/>
      <c r="I1858" s="46"/>
      <c r="J1858" s="46"/>
      <c r="K1858" s="46"/>
      <c r="L1858" s="46"/>
      <c r="M1858" s="46" t="str">
        <f aca="false">IF(OR(B1858="",I1858=""),"",IFERROR(INDEX('Comment flow'!$C$40:$C$46,MATCH(I1858,'Comment flow'!$A$40:$A$46,0)),""))</f>
        <v/>
      </c>
      <c r="N1858" s="46" t="str">
        <f aca="false">IF(B1858="","",IF(OR(I1858="",I1858="Open: needs a decision",L1858=""),"Open","Closed"))</f>
        <v/>
      </c>
      <c r="O1858" s="46"/>
      <c r="P1858" s="46" t="str">
        <f aca="false">IF(OR(B1858="",I1858&lt;&gt;"Save for a later revision"),"",IF(COUNTIF('Deferred edits'!$K$2:$K$201,A1858)&gt;0,"Yes","● Add to Deferred edits"))</f>
        <v/>
      </c>
    </row>
    <row r="1859" customFormat="false" ht="15" hidden="false" customHeight="false" outlineLevel="0" collapsed="false">
      <c r="A1859" s="46" t="s">
        <v>2154</v>
      </c>
      <c r="B1859" s="46"/>
      <c r="C1859" s="46"/>
      <c r="D1859" s="46"/>
      <c r="E1859" s="46"/>
      <c r="F1859" s="46"/>
      <c r="G1859" s="46"/>
      <c r="H1859" s="46"/>
      <c r="I1859" s="46"/>
      <c r="J1859" s="46"/>
      <c r="K1859" s="46"/>
      <c r="L1859" s="46"/>
      <c r="M1859" s="46" t="str">
        <f aca="false">IF(OR(B1859="",I1859=""),"",IFERROR(INDEX('Comment flow'!$C$40:$C$46,MATCH(I1859,'Comment flow'!$A$40:$A$46,0)),""))</f>
        <v/>
      </c>
      <c r="N1859" s="46" t="str">
        <f aca="false">IF(B1859="","",IF(OR(I1859="",I1859="Open: needs a decision",L1859=""),"Open","Closed"))</f>
        <v/>
      </c>
      <c r="O1859" s="46"/>
      <c r="P1859" s="46" t="str">
        <f aca="false">IF(OR(B1859="",I1859&lt;&gt;"Save for a later revision"),"",IF(COUNTIF('Deferred edits'!$K$2:$K$201,A1859)&gt;0,"Yes","● Add to Deferred edits"))</f>
        <v/>
      </c>
    </row>
    <row r="1860" customFormat="false" ht="15" hidden="false" customHeight="false" outlineLevel="0" collapsed="false">
      <c r="A1860" s="46" t="s">
        <v>2155</v>
      </c>
      <c r="B1860" s="46"/>
      <c r="C1860" s="46"/>
      <c r="D1860" s="46"/>
      <c r="E1860" s="46"/>
      <c r="F1860" s="46"/>
      <c r="G1860" s="46"/>
      <c r="H1860" s="46"/>
      <c r="I1860" s="46"/>
      <c r="J1860" s="46"/>
      <c r="K1860" s="46"/>
      <c r="L1860" s="46"/>
      <c r="M1860" s="46" t="str">
        <f aca="false">IF(OR(B1860="",I1860=""),"",IFERROR(INDEX('Comment flow'!$C$40:$C$46,MATCH(I1860,'Comment flow'!$A$40:$A$46,0)),""))</f>
        <v/>
      </c>
      <c r="N1860" s="46" t="str">
        <f aca="false">IF(B1860="","",IF(OR(I1860="",I1860="Open: needs a decision",L1860=""),"Open","Closed"))</f>
        <v/>
      </c>
      <c r="O1860" s="46"/>
      <c r="P1860" s="46" t="str">
        <f aca="false">IF(OR(B1860="",I1860&lt;&gt;"Save for a later revision"),"",IF(COUNTIF('Deferred edits'!$K$2:$K$201,A1860)&gt;0,"Yes","● Add to Deferred edits"))</f>
        <v/>
      </c>
    </row>
    <row r="1861" customFormat="false" ht="15" hidden="false" customHeight="false" outlineLevel="0" collapsed="false">
      <c r="A1861" s="46" t="s">
        <v>2156</v>
      </c>
      <c r="B1861" s="46"/>
      <c r="C1861" s="46"/>
      <c r="D1861" s="46"/>
      <c r="E1861" s="46"/>
      <c r="F1861" s="46"/>
      <c r="G1861" s="46"/>
      <c r="H1861" s="46"/>
      <c r="I1861" s="46"/>
      <c r="J1861" s="46"/>
      <c r="K1861" s="46"/>
      <c r="L1861" s="46"/>
      <c r="M1861" s="46" t="str">
        <f aca="false">IF(OR(B1861="",I1861=""),"",IFERROR(INDEX('Comment flow'!$C$40:$C$46,MATCH(I1861,'Comment flow'!$A$40:$A$46,0)),""))</f>
        <v/>
      </c>
      <c r="N1861" s="46" t="str">
        <f aca="false">IF(B1861="","",IF(OR(I1861="",I1861="Open: needs a decision",L1861=""),"Open","Closed"))</f>
        <v/>
      </c>
      <c r="O1861" s="46"/>
      <c r="P1861" s="46" t="str">
        <f aca="false">IF(OR(B1861="",I1861&lt;&gt;"Save for a later revision"),"",IF(COUNTIF('Deferred edits'!$K$2:$K$201,A1861)&gt;0,"Yes","● Add to Deferred edits"))</f>
        <v/>
      </c>
    </row>
    <row r="1862" customFormat="false" ht="15" hidden="false" customHeight="false" outlineLevel="0" collapsed="false">
      <c r="A1862" s="46" t="s">
        <v>2157</v>
      </c>
      <c r="B1862" s="46"/>
      <c r="C1862" s="46"/>
      <c r="D1862" s="46"/>
      <c r="E1862" s="46"/>
      <c r="F1862" s="46"/>
      <c r="G1862" s="46"/>
      <c r="H1862" s="46"/>
      <c r="I1862" s="46"/>
      <c r="J1862" s="46"/>
      <c r="K1862" s="46"/>
      <c r="L1862" s="46"/>
      <c r="M1862" s="46" t="str">
        <f aca="false">IF(OR(B1862="",I1862=""),"",IFERROR(INDEX('Comment flow'!$C$40:$C$46,MATCH(I1862,'Comment flow'!$A$40:$A$46,0)),""))</f>
        <v/>
      </c>
      <c r="N1862" s="46" t="str">
        <f aca="false">IF(B1862="","",IF(OR(I1862="",I1862="Open: needs a decision",L1862=""),"Open","Closed"))</f>
        <v/>
      </c>
      <c r="O1862" s="46"/>
      <c r="P1862" s="46" t="str">
        <f aca="false">IF(OR(B1862="",I1862&lt;&gt;"Save for a later revision"),"",IF(COUNTIF('Deferred edits'!$K$2:$K$201,A1862)&gt;0,"Yes","● Add to Deferred edits"))</f>
        <v/>
      </c>
    </row>
    <row r="1863" customFormat="false" ht="15" hidden="false" customHeight="false" outlineLevel="0" collapsed="false">
      <c r="A1863" s="46" t="s">
        <v>2158</v>
      </c>
      <c r="B1863" s="46"/>
      <c r="C1863" s="46"/>
      <c r="D1863" s="46"/>
      <c r="E1863" s="46"/>
      <c r="F1863" s="46"/>
      <c r="G1863" s="46"/>
      <c r="H1863" s="46"/>
      <c r="I1863" s="46"/>
      <c r="J1863" s="46"/>
      <c r="K1863" s="46"/>
      <c r="L1863" s="46"/>
      <c r="M1863" s="46" t="str">
        <f aca="false">IF(OR(B1863="",I1863=""),"",IFERROR(INDEX('Comment flow'!$C$40:$C$46,MATCH(I1863,'Comment flow'!$A$40:$A$46,0)),""))</f>
        <v/>
      </c>
      <c r="N1863" s="46" t="str">
        <f aca="false">IF(B1863="","",IF(OR(I1863="",I1863="Open: needs a decision",L1863=""),"Open","Closed"))</f>
        <v/>
      </c>
      <c r="O1863" s="46"/>
      <c r="P1863" s="46" t="str">
        <f aca="false">IF(OR(B1863="",I1863&lt;&gt;"Save for a later revision"),"",IF(COUNTIF('Deferred edits'!$K$2:$K$201,A1863)&gt;0,"Yes","● Add to Deferred edits"))</f>
        <v/>
      </c>
    </row>
    <row r="1864" customFormat="false" ht="15" hidden="false" customHeight="false" outlineLevel="0" collapsed="false">
      <c r="A1864" s="46" t="s">
        <v>2159</v>
      </c>
      <c r="B1864" s="46"/>
      <c r="C1864" s="46"/>
      <c r="D1864" s="46"/>
      <c r="E1864" s="46"/>
      <c r="F1864" s="46"/>
      <c r="G1864" s="46"/>
      <c r="H1864" s="46"/>
      <c r="I1864" s="46"/>
      <c r="J1864" s="46"/>
      <c r="K1864" s="46"/>
      <c r="L1864" s="46"/>
      <c r="M1864" s="46" t="str">
        <f aca="false">IF(OR(B1864="",I1864=""),"",IFERROR(INDEX('Comment flow'!$C$40:$C$46,MATCH(I1864,'Comment flow'!$A$40:$A$46,0)),""))</f>
        <v/>
      </c>
      <c r="N1864" s="46" t="str">
        <f aca="false">IF(B1864="","",IF(OR(I1864="",I1864="Open: needs a decision",L1864=""),"Open","Closed"))</f>
        <v/>
      </c>
      <c r="O1864" s="46"/>
      <c r="P1864" s="46" t="str">
        <f aca="false">IF(OR(B1864="",I1864&lt;&gt;"Save for a later revision"),"",IF(COUNTIF('Deferred edits'!$K$2:$K$201,A1864)&gt;0,"Yes","● Add to Deferred edits"))</f>
        <v/>
      </c>
    </row>
    <row r="1865" customFormat="false" ht="15" hidden="false" customHeight="false" outlineLevel="0" collapsed="false">
      <c r="A1865" s="46" t="s">
        <v>2160</v>
      </c>
      <c r="B1865" s="46"/>
      <c r="C1865" s="46"/>
      <c r="D1865" s="46"/>
      <c r="E1865" s="46"/>
      <c r="F1865" s="46"/>
      <c r="G1865" s="46"/>
      <c r="H1865" s="46"/>
      <c r="I1865" s="46"/>
      <c r="J1865" s="46"/>
      <c r="K1865" s="46"/>
      <c r="L1865" s="46"/>
      <c r="M1865" s="46" t="str">
        <f aca="false">IF(OR(B1865="",I1865=""),"",IFERROR(INDEX('Comment flow'!$C$40:$C$46,MATCH(I1865,'Comment flow'!$A$40:$A$46,0)),""))</f>
        <v/>
      </c>
      <c r="N1865" s="46" t="str">
        <f aca="false">IF(B1865="","",IF(OR(I1865="",I1865="Open: needs a decision",L1865=""),"Open","Closed"))</f>
        <v/>
      </c>
      <c r="O1865" s="46"/>
      <c r="P1865" s="46" t="str">
        <f aca="false">IF(OR(B1865="",I1865&lt;&gt;"Save for a later revision"),"",IF(COUNTIF('Deferred edits'!$K$2:$K$201,A1865)&gt;0,"Yes","● Add to Deferred edits"))</f>
        <v/>
      </c>
    </row>
    <row r="1866" customFormat="false" ht="15" hidden="false" customHeight="false" outlineLevel="0" collapsed="false">
      <c r="A1866" s="46" t="s">
        <v>2161</v>
      </c>
      <c r="B1866" s="46"/>
      <c r="C1866" s="46"/>
      <c r="D1866" s="46"/>
      <c r="E1866" s="46"/>
      <c r="F1866" s="46"/>
      <c r="G1866" s="46"/>
      <c r="H1866" s="46"/>
      <c r="I1866" s="46"/>
      <c r="J1866" s="46"/>
      <c r="K1866" s="46"/>
      <c r="L1866" s="46"/>
      <c r="M1866" s="46" t="str">
        <f aca="false">IF(OR(B1866="",I1866=""),"",IFERROR(INDEX('Comment flow'!$C$40:$C$46,MATCH(I1866,'Comment flow'!$A$40:$A$46,0)),""))</f>
        <v/>
      </c>
      <c r="N1866" s="46" t="str">
        <f aca="false">IF(B1866="","",IF(OR(I1866="",I1866="Open: needs a decision",L1866=""),"Open","Closed"))</f>
        <v/>
      </c>
      <c r="O1866" s="46"/>
      <c r="P1866" s="46" t="str">
        <f aca="false">IF(OR(B1866="",I1866&lt;&gt;"Save for a later revision"),"",IF(COUNTIF('Deferred edits'!$K$2:$K$201,A1866)&gt;0,"Yes","● Add to Deferred edits"))</f>
        <v/>
      </c>
    </row>
    <row r="1867" customFormat="false" ht="15" hidden="false" customHeight="false" outlineLevel="0" collapsed="false">
      <c r="A1867" s="46" t="s">
        <v>2162</v>
      </c>
      <c r="B1867" s="46"/>
      <c r="C1867" s="46"/>
      <c r="D1867" s="46"/>
      <c r="E1867" s="46"/>
      <c r="F1867" s="46"/>
      <c r="G1867" s="46"/>
      <c r="H1867" s="46"/>
      <c r="I1867" s="46"/>
      <c r="J1867" s="46"/>
      <c r="K1867" s="46"/>
      <c r="L1867" s="46"/>
      <c r="M1867" s="46" t="str">
        <f aca="false">IF(OR(B1867="",I1867=""),"",IFERROR(INDEX('Comment flow'!$C$40:$C$46,MATCH(I1867,'Comment flow'!$A$40:$A$46,0)),""))</f>
        <v/>
      </c>
      <c r="N1867" s="46" t="str">
        <f aca="false">IF(B1867="","",IF(OR(I1867="",I1867="Open: needs a decision",L1867=""),"Open","Closed"))</f>
        <v/>
      </c>
      <c r="O1867" s="46"/>
      <c r="P1867" s="46" t="str">
        <f aca="false">IF(OR(B1867="",I1867&lt;&gt;"Save for a later revision"),"",IF(COUNTIF('Deferred edits'!$K$2:$K$201,A1867)&gt;0,"Yes","● Add to Deferred edits"))</f>
        <v/>
      </c>
    </row>
    <row r="1868" customFormat="false" ht="15" hidden="false" customHeight="false" outlineLevel="0" collapsed="false">
      <c r="A1868" s="46" t="s">
        <v>2163</v>
      </c>
      <c r="B1868" s="46"/>
      <c r="C1868" s="46"/>
      <c r="D1868" s="46"/>
      <c r="E1868" s="46"/>
      <c r="F1868" s="46"/>
      <c r="G1868" s="46"/>
      <c r="H1868" s="46"/>
      <c r="I1868" s="46"/>
      <c r="J1868" s="46"/>
      <c r="K1868" s="46"/>
      <c r="L1868" s="46"/>
      <c r="M1868" s="46" t="str">
        <f aca="false">IF(OR(B1868="",I1868=""),"",IFERROR(INDEX('Comment flow'!$C$40:$C$46,MATCH(I1868,'Comment flow'!$A$40:$A$46,0)),""))</f>
        <v/>
      </c>
      <c r="N1868" s="46" t="str">
        <f aca="false">IF(B1868="","",IF(OR(I1868="",I1868="Open: needs a decision",L1868=""),"Open","Closed"))</f>
        <v/>
      </c>
      <c r="O1868" s="46"/>
      <c r="P1868" s="46" t="str">
        <f aca="false">IF(OR(B1868="",I1868&lt;&gt;"Save for a later revision"),"",IF(COUNTIF('Deferred edits'!$K$2:$K$201,A1868)&gt;0,"Yes","● Add to Deferred edits"))</f>
        <v/>
      </c>
    </row>
    <row r="1869" customFormat="false" ht="15" hidden="false" customHeight="false" outlineLevel="0" collapsed="false">
      <c r="A1869" s="46" t="s">
        <v>2164</v>
      </c>
      <c r="B1869" s="46"/>
      <c r="C1869" s="46"/>
      <c r="D1869" s="46"/>
      <c r="E1869" s="46"/>
      <c r="F1869" s="46"/>
      <c r="G1869" s="46"/>
      <c r="H1869" s="46"/>
      <c r="I1869" s="46"/>
      <c r="J1869" s="46"/>
      <c r="K1869" s="46"/>
      <c r="L1869" s="46"/>
      <c r="M1869" s="46" t="str">
        <f aca="false">IF(OR(B1869="",I1869=""),"",IFERROR(INDEX('Comment flow'!$C$40:$C$46,MATCH(I1869,'Comment flow'!$A$40:$A$46,0)),""))</f>
        <v/>
      </c>
      <c r="N1869" s="46" t="str">
        <f aca="false">IF(B1869="","",IF(OR(I1869="",I1869="Open: needs a decision",L1869=""),"Open","Closed"))</f>
        <v/>
      </c>
      <c r="O1869" s="46"/>
      <c r="P1869" s="46" t="str">
        <f aca="false">IF(OR(B1869="",I1869&lt;&gt;"Save for a later revision"),"",IF(COUNTIF('Deferred edits'!$K$2:$K$201,A1869)&gt;0,"Yes","● Add to Deferred edits"))</f>
        <v/>
      </c>
    </row>
    <row r="1870" customFormat="false" ht="15" hidden="false" customHeight="false" outlineLevel="0" collapsed="false">
      <c r="A1870" s="46" t="s">
        <v>2165</v>
      </c>
      <c r="B1870" s="46"/>
      <c r="C1870" s="46"/>
      <c r="D1870" s="46"/>
      <c r="E1870" s="46"/>
      <c r="F1870" s="46"/>
      <c r="G1870" s="46"/>
      <c r="H1870" s="46"/>
      <c r="I1870" s="46"/>
      <c r="J1870" s="46"/>
      <c r="K1870" s="46"/>
      <c r="L1870" s="46"/>
      <c r="M1870" s="46" t="str">
        <f aca="false">IF(OR(B1870="",I1870=""),"",IFERROR(INDEX('Comment flow'!$C$40:$C$46,MATCH(I1870,'Comment flow'!$A$40:$A$46,0)),""))</f>
        <v/>
      </c>
      <c r="N1870" s="46" t="str">
        <f aca="false">IF(B1870="","",IF(OR(I1870="",I1870="Open: needs a decision",L1870=""),"Open","Closed"))</f>
        <v/>
      </c>
      <c r="O1870" s="46"/>
      <c r="P1870" s="46" t="str">
        <f aca="false">IF(OR(B1870="",I1870&lt;&gt;"Save for a later revision"),"",IF(COUNTIF('Deferred edits'!$K$2:$K$201,A1870)&gt;0,"Yes","● Add to Deferred edits"))</f>
        <v/>
      </c>
    </row>
    <row r="1871" customFormat="false" ht="15" hidden="false" customHeight="false" outlineLevel="0" collapsed="false">
      <c r="A1871" s="46" t="s">
        <v>2166</v>
      </c>
      <c r="B1871" s="46"/>
      <c r="C1871" s="46"/>
      <c r="D1871" s="46"/>
      <c r="E1871" s="46"/>
      <c r="F1871" s="46"/>
      <c r="G1871" s="46"/>
      <c r="H1871" s="46"/>
      <c r="I1871" s="46"/>
      <c r="J1871" s="46"/>
      <c r="K1871" s="46"/>
      <c r="L1871" s="46"/>
      <c r="M1871" s="46" t="str">
        <f aca="false">IF(OR(B1871="",I1871=""),"",IFERROR(INDEX('Comment flow'!$C$40:$C$46,MATCH(I1871,'Comment flow'!$A$40:$A$46,0)),""))</f>
        <v/>
      </c>
      <c r="N1871" s="46" t="str">
        <f aca="false">IF(B1871="","",IF(OR(I1871="",I1871="Open: needs a decision",L1871=""),"Open","Closed"))</f>
        <v/>
      </c>
      <c r="O1871" s="46"/>
      <c r="P1871" s="46" t="str">
        <f aca="false">IF(OR(B1871="",I1871&lt;&gt;"Save for a later revision"),"",IF(COUNTIF('Deferred edits'!$K$2:$K$201,A1871)&gt;0,"Yes","● Add to Deferred edits"))</f>
        <v/>
      </c>
    </row>
    <row r="1872" customFormat="false" ht="15" hidden="false" customHeight="false" outlineLevel="0" collapsed="false">
      <c r="A1872" s="46" t="s">
        <v>2167</v>
      </c>
      <c r="B1872" s="46"/>
      <c r="C1872" s="46"/>
      <c r="D1872" s="46"/>
      <c r="E1872" s="46"/>
      <c r="F1872" s="46"/>
      <c r="G1872" s="46"/>
      <c r="H1872" s="46"/>
      <c r="I1872" s="46"/>
      <c r="J1872" s="46"/>
      <c r="K1872" s="46"/>
      <c r="L1872" s="46"/>
      <c r="M1872" s="46" t="str">
        <f aca="false">IF(OR(B1872="",I1872=""),"",IFERROR(INDEX('Comment flow'!$C$40:$C$46,MATCH(I1872,'Comment flow'!$A$40:$A$46,0)),""))</f>
        <v/>
      </c>
      <c r="N1872" s="46" t="str">
        <f aca="false">IF(B1872="","",IF(OR(I1872="",I1872="Open: needs a decision",L1872=""),"Open","Closed"))</f>
        <v/>
      </c>
      <c r="O1872" s="46"/>
      <c r="P1872" s="46" t="str">
        <f aca="false">IF(OR(B1872="",I1872&lt;&gt;"Save for a later revision"),"",IF(COUNTIF('Deferred edits'!$K$2:$K$201,A1872)&gt;0,"Yes","● Add to Deferred edits"))</f>
        <v/>
      </c>
    </row>
    <row r="1873" customFormat="false" ht="15" hidden="false" customHeight="false" outlineLevel="0" collapsed="false">
      <c r="A1873" s="46" t="s">
        <v>2168</v>
      </c>
      <c r="B1873" s="46"/>
      <c r="C1873" s="46"/>
      <c r="D1873" s="46"/>
      <c r="E1873" s="46"/>
      <c r="F1873" s="46"/>
      <c r="G1873" s="46"/>
      <c r="H1873" s="46"/>
      <c r="I1873" s="46"/>
      <c r="J1873" s="46"/>
      <c r="K1873" s="46"/>
      <c r="L1873" s="46"/>
      <c r="M1873" s="46" t="str">
        <f aca="false">IF(OR(B1873="",I1873=""),"",IFERROR(INDEX('Comment flow'!$C$40:$C$46,MATCH(I1873,'Comment flow'!$A$40:$A$46,0)),""))</f>
        <v/>
      </c>
      <c r="N1873" s="46" t="str">
        <f aca="false">IF(B1873="","",IF(OR(I1873="",I1873="Open: needs a decision",L1873=""),"Open","Closed"))</f>
        <v/>
      </c>
      <c r="O1873" s="46"/>
      <c r="P1873" s="46" t="str">
        <f aca="false">IF(OR(B1873="",I1873&lt;&gt;"Save for a later revision"),"",IF(COUNTIF('Deferred edits'!$K$2:$K$201,A1873)&gt;0,"Yes","● Add to Deferred edits"))</f>
        <v/>
      </c>
    </row>
    <row r="1874" customFormat="false" ht="15" hidden="false" customHeight="false" outlineLevel="0" collapsed="false">
      <c r="A1874" s="46" t="s">
        <v>2169</v>
      </c>
      <c r="B1874" s="46"/>
      <c r="C1874" s="46"/>
      <c r="D1874" s="46"/>
      <c r="E1874" s="46"/>
      <c r="F1874" s="46"/>
      <c r="G1874" s="46"/>
      <c r="H1874" s="46"/>
      <c r="I1874" s="46"/>
      <c r="J1874" s="46"/>
      <c r="K1874" s="46"/>
      <c r="L1874" s="46"/>
      <c r="M1874" s="46" t="str">
        <f aca="false">IF(OR(B1874="",I1874=""),"",IFERROR(INDEX('Comment flow'!$C$40:$C$46,MATCH(I1874,'Comment flow'!$A$40:$A$46,0)),""))</f>
        <v/>
      </c>
      <c r="N1874" s="46" t="str">
        <f aca="false">IF(B1874="","",IF(OR(I1874="",I1874="Open: needs a decision",L1874=""),"Open","Closed"))</f>
        <v/>
      </c>
      <c r="O1874" s="46"/>
      <c r="P1874" s="46" t="str">
        <f aca="false">IF(OR(B1874="",I1874&lt;&gt;"Save for a later revision"),"",IF(COUNTIF('Deferred edits'!$K$2:$K$201,A1874)&gt;0,"Yes","● Add to Deferred edits"))</f>
        <v/>
      </c>
    </row>
    <row r="1875" customFormat="false" ht="15" hidden="false" customHeight="false" outlineLevel="0" collapsed="false">
      <c r="A1875" s="46" t="s">
        <v>2170</v>
      </c>
      <c r="B1875" s="46"/>
      <c r="C1875" s="46"/>
      <c r="D1875" s="46"/>
      <c r="E1875" s="46"/>
      <c r="F1875" s="46"/>
      <c r="G1875" s="46"/>
      <c r="H1875" s="46"/>
      <c r="I1875" s="46"/>
      <c r="J1875" s="46"/>
      <c r="K1875" s="46"/>
      <c r="L1875" s="46"/>
      <c r="M1875" s="46" t="str">
        <f aca="false">IF(OR(B1875="",I1875=""),"",IFERROR(INDEX('Comment flow'!$C$40:$C$46,MATCH(I1875,'Comment flow'!$A$40:$A$46,0)),""))</f>
        <v/>
      </c>
      <c r="N1875" s="46" t="str">
        <f aca="false">IF(B1875="","",IF(OR(I1875="",I1875="Open: needs a decision",L1875=""),"Open","Closed"))</f>
        <v/>
      </c>
      <c r="O1875" s="46"/>
      <c r="P1875" s="46" t="str">
        <f aca="false">IF(OR(B1875="",I1875&lt;&gt;"Save for a later revision"),"",IF(COUNTIF('Deferred edits'!$K$2:$K$201,A1875)&gt;0,"Yes","● Add to Deferred edits"))</f>
        <v/>
      </c>
    </row>
    <row r="1876" customFormat="false" ht="15" hidden="false" customHeight="false" outlineLevel="0" collapsed="false">
      <c r="A1876" s="46" t="s">
        <v>2171</v>
      </c>
      <c r="B1876" s="46"/>
      <c r="C1876" s="46"/>
      <c r="D1876" s="46"/>
      <c r="E1876" s="46"/>
      <c r="F1876" s="46"/>
      <c r="G1876" s="46"/>
      <c r="H1876" s="46"/>
      <c r="I1876" s="46"/>
      <c r="J1876" s="46"/>
      <c r="K1876" s="46"/>
      <c r="L1876" s="46"/>
      <c r="M1876" s="46" t="str">
        <f aca="false">IF(OR(B1876="",I1876=""),"",IFERROR(INDEX('Comment flow'!$C$40:$C$46,MATCH(I1876,'Comment flow'!$A$40:$A$46,0)),""))</f>
        <v/>
      </c>
      <c r="N1876" s="46" t="str">
        <f aca="false">IF(B1876="","",IF(OR(I1876="",I1876="Open: needs a decision",L1876=""),"Open","Closed"))</f>
        <v/>
      </c>
      <c r="O1876" s="46"/>
      <c r="P1876" s="46" t="str">
        <f aca="false">IF(OR(B1876="",I1876&lt;&gt;"Save for a later revision"),"",IF(COUNTIF('Deferred edits'!$K$2:$K$201,A1876)&gt;0,"Yes","● Add to Deferred edits"))</f>
        <v/>
      </c>
    </row>
    <row r="1877" customFormat="false" ht="15" hidden="false" customHeight="false" outlineLevel="0" collapsed="false">
      <c r="A1877" s="46" t="s">
        <v>2172</v>
      </c>
      <c r="B1877" s="46"/>
      <c r="C1877" s="46"/>
      <c r="D1877" s="46"/>
      <c r="E1877" s="46"/>
      <c r="F1877" s="46"/>
      <c r="G1877" s="46"/>
      <c r="H1877" s="46"/>
      <c r="I1877" s="46"/>
      <c r="J1877" s="46"/>
      <c r="K1877" s="46"/>
      <c r="L1877" s="46"/>
      <c r="M1877" s="46" t="str">
        <f aca="false">IF(OR(B1877="",I1877=""),"",IFERROR(INDEX('Comment flow'!$C$40:$C$46,MATCH(I1877,'Comment flow'!$A$40:$A$46,0)),""))</f>
        <v/>
      </c>
      <c r="N1877" s="46" t="str">
        <f aca="false">IF(B1877="","",IF(OR(I1877="",I1877="Open: needs a decision",L1877=""),"Open","Closed"))</f>
        <v/>
      </c>
      <c r="O1877" s="46"/>
      <c r="P1877" s="46" t="str">
        <f aca="false">IF(OR(B1877="",I1877&lt;&gt;"Save for a later revision"),"",IF(COUNTIF('Deferred edits'!$K$2:$K$201,A1877)&gt;0,"Yes","● Add to Deferred edits"))</f>
        <v/>
      </c>
    </row>
    <row r="1878" customFormat="false" ht="15" hidden="false" customHeight="false" outlineLevel="0" collapsed="false">
      <c r="A1878" s="46" t="s">
        <v>2173</v>
      </c>
      <c r="B1878" s="46"/>
      <c r="C1878" s="46"/>
      <c r="D1878" s="46"/>
      <c r="E1878" s="46"/>
      <c r="F1878" s="46"/>
      <c r="G1878" s="46"/>
      <c r="H1878" s="46"/>
      <c r="I1878" s="46"/>
      <c r="J1878" s="46"/>
      <c r="K1878" s="46"/>
      <c r="L1878" s="46"/>
      <c r="M1878" s="46" t="str">
        <f aca="false">IF(OR(B1878="",I1878=""),"",IFERROR(INDEX('Comment flow'!$C$40:$C$46,MATCH(I1878,'Comment flow'!$A$40:$A$46,0)),""))</f>
        <v/>
      </c>
      <c r="N1878" s="46" t="str">
        <f aca="false">IF(B1878="","",IF(OR(I1878="",I1878="Open: needs a decision",L1878=""),"Open","Closed"))</f>
        <v/>
      </c>
      <c r="O1878" s="46"/>
      <c r="P1878" s="46" t="str">
        <f aca="false">IF(OR(B1878="",I1878&lt;&gt;"Save for a later revision"),"",IF(COUNTIF('Deferred edits'!$K$2:$K$201,A1878)&gt;0,"Yes","● Add to Deferred edits"))</f>
        <v/>
      </c>
    </row>
    <row r="1879" customFormat="false" ht="15" hidden="false" customHeight="false" outlineLevel="0" collapsed="false">
      <c r="A1879" s="46" t="s">
        <v>2174</v>
      </c>
      <c r="B1879" s="46"/>
      <c r="C1879" s="46"/>
      <c r="D1879" s="46"/>
      <c r="E1879" s="46"/>
      <c r="F1879" s="46"/>
      <c r="G1879" s="46"/>
      <c r="H1879" s="46"/>
      <c r="I1879" s="46"/>
      <c r="J1879" s="46"/>
      <c r="K1879" s="46"/>
      <c r="L1879" s="46"/>
      <c r="M1879" s="46" t="str">
        <f aca="false">IF(OR(B1879="",I1879=""),"",IFERROR(INDEX('Comment flow'!$C$40:$C$46,MATCH(I1879,'Comment flow'!$A$40:$A$46,0)),""))</f>
        <v/>
      </c>
      <c r="N1879" s="46" t="str">
        <f aca="false">IF(B1879="","",IF(OR(I1879="",I1879="Open: needs a decision",L1879=""),"Open","Closed"))</f>
        <v/>
      </c>
      <c r="O1879" s="46"/>
      <c r="P1879" s="46" t="str">
        <f aca="false">IF(OR(B1879="",I1879&lt;&gt;"Save for a later revision"),"",IF(COUNTIF('Deferred edits'!$K$2:$K$201,A1879)&gt;0,"Yes","● Add to Deferred edits"))</f>
        <v/>
      </c>
    </row>
    <row r="1880" customFormat="false" ht="15" hidden="false" customHeight="false" outlineLevel="0" collapsed="false">
      <c r="A1880" s="46" t="s">
        <v>2175</v>
      </c>
      <c r="B1880" s="46"/>
      <c r="C1880" s="46"/>
      <c r="D1880" s="46"/>
      <c r="E1880" s="46"/>
      <c r="F1880" s="46"/>
      <c r="G1880" s="46"/>
      <c r="H1880" s="46"/>
      <c r="I1880" s="46"/>
      <c r="J1880" s="46"/>
      <c r="K1880" s="46"/>
      <c r="L1880" s="46"/>
      <c r="M1880" s="46" t="str">
        <f aca="false">IF(OR(B1880="",I1880=""),"",IFERROR(INDEX('Comment flow'!$C$40:$C$46,MATCH(I1880,'Comment flow'!$A$40:$A$46,0)),""))</f>
        <v/>
      </c>
      <c r="N1880" s="46" t="str">
        <f aca="false">IF(B1880="","",IF(OR(I1880="",I1880="Open: needs a decision",L1880=""),"Open","Closed"))</f>
        <v/>
      </c>
      <c r="O1880" s="46"/>
      <c r="P1880" s="46" t="str">
        <f aca="false">IF(OR(B1880="",I1880&lt;&gt;"Save for a later revision"),"",IF(COUNTIF('Deferred edits'!$K$2:$K$201,A1880)&gt;0,"Yes","● Add to Deferred edits"))</f>
        <v/>
      </c>
    </row>
    <row r="1881" customFormat="false" ht="15" hidden="false" customHeight="false" outlineLevel="0" collapsed="false">
      <c r="A1881" s="46" t="s">
        <v>2176</v>
      </c>
      <c r="B1881" s="46"/>
      <c r="C1881" s="46"/>
      <c r="D1881" s="46"/>
      <c r="E1881" s="46"/>
      <c r="F1881" s="46"/>
      <c r="G1881" s="46"/>
      <c r="H1881" s="46"/>
      <c r="I1881" s="46"/>
      <c r="J1881" s="46"/>
      <c r="K1881" s="46"/>
      <c r="L1881" s="46"/>
      <c r="M1881" s="46" t="str">
        <f aca="false">IF(OR(B1881="",I1881=""),"",IFERROR(INDEX('Comment flow'!$C$40:$C$46,MATCH(I1881,'Comment flow'!$A$40:$A$46,0)),""))</f>
        <v/>
      </c>
      <c r="N1881" s="46" t="str">
        <f aca="false">IF(B1881="","",IF(OR(I1881="",I1881="Open: needs a decision",L1881=""),"Open","Closed"))</f>
        <v/>
      </c>
      <c r="O1881" s="46"/>
      <c r="P1881" s="46" t="str">
        <f aca="false">IF(OR(B1881="",I1881&lt;&gt;"Save for a later revision"),"",IF(COUNTIF('Deferred edits'!$K$2:$K$201,A1881)&gt;0,"Yes","● Add to Deferred edits"))</f>
        <v/>
      </c>
    </row>
    <row r="1882" customFormat="false" ht="15" hidden="false" customHeight="false" outlineLevel="0" collapsed="false">
      <c r="A1882" s="46" t="s">
        <v>2177</v>
      </c>
      <c r="B1882" s="46"/>
      <c r="C1882" s="46"/>
      <c r="D1882" s="46"/>
      <c r="E1882" s="46"/>
      <c r="F1882" s="46"/>
      <c r="G1882" s="46"/>
      <c r="H1882" s="46"/>
      <c r="I1882" s="46"/>
      <c r="J1882" s="46"/>
      <c r="K1882" s="46"/>
      <c r="L1882" s="46"/>
      <c r="M1882" s="46" t="str">
        <f aca="false">IF(OR(B1882="",I1882=""),"",IFERROR(INDEX('Comment flow'!$C$40:$C$46,MATCH(I1882,'Comment flow'!$A$40:$A$46,0)),""))</f>
        <v/>
      </c>
      <c r="N1882" s="46" t="str">
        <f aca="false">IF(B1882="","",IF(OR(I1882="",I1882="Open: needs a decision",L1882=""),"Open","Closed"))</f>
        <v/>
      </c>
      <c r="O1882" s="46"/>
      <c r="P1882" s="46" t="str">
        <f aca="false">IF(OR(B1882="",I1882&lt;&gt;"Save for a later revision"),"",IF(COUNTIF('Deferred edits'!$K$2:$K$201,A1882)&gt;0,"Yes","● Add to Deferred edits"))</f>
        <v/>
      </c>
    </row>
    <row r="1883" customFormat="false" ht="15" hidden="false" customHeight="false" outlineLevel="0" collapsed="false">
      <c r="A1883" s="46" t="s">
        <v>2178</v>
      </c>
      <c r="B1883" s="46"/>
      <c r="C1883" s="46"/>
      <c r="D1883" s="46"/>
      <c r="E1883" s="46"/>
      <c r="F1883" s="46"/>
      <c r="G1883" s="46"/>
      <c r="H1883" s="46"/>
      <c r="I1883" s="46"/>
      <c r="J1883" s="46"/>
      <c r="K1883" s="46"/>
      <c r="L1883" s="46"/>
      <c r="M1883" s="46" t="str">
        <f aca="false">IF(OR(B1883="",I1883=""),"",IFERROR(INDEX('Comment flow'!$C$40:$C$46,MATCH(I1883,'Comment flow'!$A$40:$A$46,0)),""))</f>
        <v/>
      </c>
      <c r="N1883" s="46" t="str">
        <f aca="false">IF(B1883="","",IF(OR(I1883="",I1883="Open: needs a decision",L1883=""),"Open","Closed"))</f>
        <v/>
      </c>
      <c r="O1883" s="46"/>
      <c r="P1883" s="46" t="str">
        <f aca="false">IF(OR(B1883="",I1883&lt;&gt;"Save for a later revision"),"",IF(COUNTIF('Deferred edits'!$K$2:$K$201,A1883)&gt;0,"Yes","● Add to Deferred edits"))</f>
        <v/>
      </c>
    </row>
    <row r="1884" customFormat="false" ht="15" hidden="false" customHeight="false" outlineLevel="0" collapsed="false">
      <c r="A1884" s="46" t="s">
        <v>2179</v>
      </c>
      <c r="B1884" s="46"/>
      <c r="C1884" s="46"/>
      <c r="D1884" s="46"/>
      <c r="E1884" s="46"/>
      <c r="F1884" s="46"/>
      <c r="G1884" s="46"/>
      <c r="H1884" s="46"/>
      <c r="I1884" s="46"/>
      <c r="J1884" s="46"/>
      <c r="K1884" s="46"/>
      <c r="L1884" s="46"/>
      <c r="M1884" s="46" t="str">
        <f aca="false">IF(OR(B1884="",I1884=""),"",IFERROR(INDEX('Comment flow'!$C$40:$C$46,MATCH(I1884,'Comment flow'!$A$40:$A$46,0)),""))</f>
        <v/>
      </c>
      <c r="N1884" s="46" t="str">
        <f aca="false">IF(B1884="","",IF(OR(I1884="",I1884="Open: needs a decision",L1884=""),"Open","Closed"))</f>
        <v/>
      </c>
      <c r="O1884" s="46"/>
      <c r="P1884" s="46" t="str">
        <f aca="false">IF(OR(B1884="",I1884&lt;&gt;"Save for a later revision"),"",IF(COUNTIF('Deferred edits'!$K$2:$K$201,A1884)&gt;0,"Yes","● Add to Deferred edits"))</f>
        <v/>
      </c>
    </row>
    <row r="1885" customFormat="false" ht="15" hidden="false" customHeight="false" outlineLevel="0" collapsed="false">
      <c r="A1885" s="46" t="s">
        <v>2180</v>
      </c>
      <c r="B1885" s="46"/>
      <c r="C1885" s="46"/>
      <c r="D1885" s="46"/>
      <c r="E1885" s="46"/>
      <c r="F1885" s="46"/>
      <c r="G1885" s="46"/>
      <c r="H1885" s="46"/>
      <c r="I1885" s="46"/>
      <c r="J1885" s="46"/>
      <c r="K1885" s="46"/>
      <c r="L1885" s="46"/>
      <c r="M1885" s="46" t="str">
        <f aca="false">IF(OR(B1885="",I1885=""),"",IFERROR(INDEX('Comment flow'!$C$40:$C$46,MATCH(I1885,'Comment flow'!$A$40:$A$46,0)),""))</f>
        <v/>
      </c>
      <c r="N1885" s="46" t="str">
        <f aca="false">IF(B1885="","",IF(OR(I1885="",I1885="Open: needs a decision",L1885=""),"Open","Closed"))</f>
        <v/>
      </c>
      <c r="O1885" s="46"/>
      <c r="P1885" s="46" t="str">
        <f aca="false">IF(OR(B1885="",I1885&lt;&gt;"Save for a later revision"),"",IF(COUNTIF('Deferred edits'!$K$2:$K$201,A1885)&gt;0,"Yes","● Add to Deferred edits"))</f>
        <v/>
      </c>
    </row>
    <row r="1886" customFormat="false" ht="15" hidden="false" customHeight="false" outlineLevel="0" collapsed="false">
      <c r="A1886" s="46" t="s">
        <v>2181</v>
      </c>
      <c r="B1886" s="46"/>
      <c r="C1886" s="46"/>
      <c r="D1886" s="46"/>
      <c r="E1886" s="46"/>
      <c r="F1886" s="46"/>
      <c r="G1886" s="46"/>
      <c r="H1886" s="46"/>
      <c r="I1886" s="46"/>
      <c r="J1886" s="46"/>
      <c r="K1886" s="46"/>
      <c r="L1886" s="46"/>
      <c r="M1886" s="46" t="str">
        <f aca="false">IF(OR(B1886="",I1886=""),"",IFERROR(INDEX('Comment flow'!$C$40:$C$46,MATCH(I1886,'Comment flow'!$A$40:$A$46,0)),""))</f>
        <v/>
      </c>
      <c r="N1886" s="46" t="str">
        <f aca="false">IF(B1886="","",IF(OR(I1886="",I1886="Open: needs a decision",L1886=""),"Open","Closed"))</f>
        <v/>
      </c>
      <c r="O1886" s="46"/>
      <c r="P1886" s="46" t="str">
        <f aca="false">IF(OR(B1886="",I1886&lt;&gt;"Save for a later revision"),"",IF(COUNTIF('Deferred edits'!$K$2:$K$201,A1886)&gt;0,"Yes","● Add to Deferred edits"))</f>
        <v/>
      </c>
    </row>
    <row r="1887" customFormat="false" ht="15" hidden="false" customHeight="false" outlineLevel="0" collapsed="false">
      <c r="A1887" s="46" t="s">
        <v>2182</v>
      </c>
      <c r="B1887" s="46"/>
      <c r="C1887" s="46"/>
      <c r="D1887" s="46"/>
      <c r="E1887" s="46"/>
      <c r="F1887" s="46"/>
      <c r="G1887" s="46"/>
      <c r="H1887" s="46"/>
      <c r="I1887" s="46"/>
      <c r="J1887" s="46"/>
      <c r="K1887" s="46"/>
      <c r="L1887" s="46"/>
      <c r="M1887" s="46" t="str">
        <f aca="false">IF(OR(B1887="",I1887=""),"",IFERROR(INDEX('Comment flow'!$C$40:$C$46,MATCH(I1887,'Comment flow'!$A$40:$A$46,0)),""))</f>
        <v/>
      </c>
      <c r="N1887" s="46" t="str">
        <f aca="false">IF(B1887="","",IF(OR(I1887="",I1887="Open: needs a decision",L1887=""),"Open","Closed"))</f>
        <v/>
      </c>
      <c r="O1887" s="46"/>
      <c r="P1887" s="46" t="str">
        <f aca="false">IF(OR(B1887="",I1887&lt;&gt;"Save for a later revision"),"",IF(COUNTIF('Deferred edits'!$K$2:$K$201,A1887)&gt;0,"Yes","● Add to Deferred edits"))</f>
        <v/>
      </c>
    </row>
    <row r="1888" customFormat="false" ht="15" hidden="false" customHeight="false" outlineLevel="0" collapsed="false">
      <c r="A1888" s="46" t="s">
        <v>2183</v>
      </c>
      <c r="B1888" s="46"/>
      <c r="C1888" s="46"/>
      <c r="D1888" s="46"/>
      <c r="E1888" s="46"/>
      <c r="F1888" s="46"/>
      <c r="G1888" s="46"/>
      <c r="H1888" s="46"/>
      <c r="I1888" s="46"/>
      <c r="J1888" s="46"/>
      <c r="K1888" s="46"/>
      <c r="L1888" s="46"/>
      <c r="M1888" s="46" t="str">
        <f aca="false">IF(OR(B1888="",I1888=""),"",IFERROR(INDEX('Comment flow'!$C$40:$C$46,MATCH(I1888,'Comment flow'!$A$40:$A$46,0)),""))</f>
        <v/>
      </c>
      <c r="N1888" s="46" t="str">
        <f aca="false">IF(B1888="","",IF(OR(I1888="",I1888="Open: needs a decision",L1888=""),"Open","Closed"))</f>
        <v/>
      </c>
      <c r="O1888" s="46"/>
      <c r="P1888" s="46" t="str">
        <f aca="false">IF(OR(B1888="",I1888&lt;&gt;"Save for a later revision"),"",IF(COUNTIF('Deferred edits'!$K$2:$K$201,A1888)&gt;0,"Yes","● Add to Deferred edits"))</f>
        <v/>
      </c>
    </row>
    <row r="1889" customFormat="false" ht="15" hidden="false" customHeight="false" outlineLevel="0" collapsed="false">
      <c r="A1889" s="46" t="s">
        <v>2184</v>
      </c>
      <c r="B1889" s="46"/>
      <c r="C1889" s="46"/>
      <c r="D1889" s="46"/>
      <c r="E1889" s="46"/>
      <c r="F1889" s="46"/>
      <c r="G1889" s="46"/>
      <c r="H1889" s="46"/>
      <c r="I1889" s="46"/>
      <c r="J1889" s="46"/>
      <c r="K1889" s="46"/>
      <c r="L1889" s="46"/>
      <c r="M1889" s="46" t="str">
        <f aca="false">IF(OR(B1889="",I1889=""),"",IFERROR(INDEX('Comment flow'!$C$40:$C$46,MATCH(I1889,'Comment flow'!$A$40:$A$46,0)),""))</f>
        <v/>
      </c>
      <c r="N1889" s="46" t="str">
        <f aca="false">IF(B1889="","",IF(OR(I1889="",I1889="Open: needs a decision",L1889=""),"Open","Closed"))</f>
        <v/>
      </c>
      <c r="O1889" s="46"/>
      <c r="P1889" s="46" t="str">
        <f aca="false">IF(OR(B1889="",I1889&lt;&gt;"Save for a later revision"),"",IF(COUNTIF('Deferred edits'!$K$2:$K$201,A1889)&gt;0,"Yes","● Add to Deferred edits"))</f>
        <v/>
      </c>
    </row>
    <row r="1890" customFormat="false" ht="15" hidden="false" customHeight="false" outlineLevel="0" collapsed="false">
      <c r="A1890" s="46" t="s">
        <v>2185</v>
      </c>
      <c r="B1890" s="46"/>
      <c r="C1890" s="46"/>
      <c r="D1890" s="46"/>
      <c r="E1890" s="46"/>
      <c r="F1890" s="46"/>
      <c r="G1890" s="46"/>
      <c r="H1890" s="46"/>
      <c r="I1890" s="46"/>
      <c r="J1890" s="46"/>
      <c r="K1890" s="46"/>
      <c r="L1890" s="46"/>
      <c r="M1890" s="46" t="str">
        <f aca="false">IF(OR(B1890="",I1890=""),"",IFERROR(INDEX('Comment flow'!$C$40:$C$46,MATCH(I1890,'Comment flow'!$A$40:$A$46,0)),""))</f>
        <v/>
      </c>
      <c r="N1890" s="46" t="str">
        <f aca="false">IF(B1890="","",IF(OR(I1890="",I1890="Open: needs a decision",L1890=""),"Open","Closed"))</f>
        <v/>
      </c>
      <c r="O1890" s="46"/>
      <c r="P1890" s="46" t="str">
        <f aca="false">IF(OR(B1890="",I1890&lt;&gt;"Save for a later revision"),"",IF(COUNTIF('Deferred edits'!$K$2:$K$201,A1890)&gt;0,"Yes","● Add to Deferred edits"))</f>
        <v/>
      </c>
    </row>
    <row r="1891" customFormat="false" ht="15" hidden="false" customHeight="false" outlineLevel="0" collapsed="false">
      <c r="A1891" s="46" t="s">
        <v>2186</v>
      </c>
      <c r="B1891" s="46"/>
      <c r="C1891" s="46"/>
      <c r="D1891" s="46"/>
      <c r="E1891" s="46"/>
      <c r="F1891" s="46"/>
      <c r="G1891" s="46"/>
      <c r="H1891" s="46"/>
      <c r="I1891" s="46"/>
      <c r="J1891" s="46"/>
      <c r="K1891" s="46"/>
      <c r="L1891" s="46"/>
      <c r="M1891" s="46" t="str">
        <f aca="false">IF(OR(B1891="",I1891=""),"",IFERROR(INDEX('Comment flow'!$C$40:$C$46,MATCH(I1891,'Comment flow'!$A$40:$A$46,0)),""))</f>
        <v/>
      </c>
      <c r="N1891" s="46" t="str">
        <f aca="false">IF(B1891="","",IF(OR(I1891="",I1891="Open: needs a decision",L1891=""),"Open","Closed"))</f>
        <v/>
      </c>
      <c r="O1891" s="46"/>
      <c r="P1891" s="46" t="str">
        <f aca="false">IF(OR(B1891="",I1891&lt;&gt;"Save for a later revision"),"",IF(COUNTIF('Deferred edits'!$K$2:$K$201,A1891)&gt;0,"Yes","● Add to Deferred edits"))</f>
        <v/>
      </c>
    </row>
    <row r="1892" customFormat="false" ht="15" hidden="false" customHeight="false" outlineLevel="0" collapsed="false">
      <c r="A1892" s="46" t="s">
        <v>2187</v>
      </c>
      <c r="B1892" s="46"/>
      <c r="C1892" s="46"/>
      <c r="D1892" s="46"/>
      <c r="E1892" s="46"/>
      <c r="F1892" s="46"/>
      <c r="G1892" s="46"/>
      <c r="H1892" s="46"/>
      <c r="I1892" s="46"/>
      <c r="J1892" s="46"/>
      <c r="K1892" s="46"/>
      <c r="L1892" s="46"/>
      <c r="M1892" s="46" t="str">
        <f aca="false">IF(OR(B1892="",I1892=""),"",IFERROR(INDEX('Comment flow'!$C$40:$C$46,MATCH(I1892,'Comment flow'!$A$40:$A$46,0)),""))</f>
        <v/>
      </c>
      <c r="N1892" s="46" t="str">
        <f aca="false">IF(B1892="","",IF(OR(I1892="",I1892="Open: needs a decision",L1892=""),"Open","Closed"))</f>
        <v/>
      </c>
      <c r="O1892" s="46"/>
      <c r="P1892" s="46" t="str">
        <f aca="false">IF(OR(B1892="",I1892&lt;&gt;"Save for a later revision"),"",IF(COUNTIF('Deferred edits'!$K$2:$K$201,A1892)&gt;0,"Yes","● Add to Deferred edits"))</f>
        <v/>
      </c>
    </row>
    <row r="1893" customFormat="false" ht="15" hidden="false" customHeight="false" outlineLevel="0" collapsed="false">
      <c r="A1893" s="46" t="s">
        <v>2188</v>
      </c>
      <c r="B1893" s="46"/>
      <c r="C1893" s="46"/>
      <c r="D1893" s="46"/>
      <c r="E1893" s="46"/>
      <c r="F1893" s="46"/>
      <c r="G1893" s="46"/>
      <c r="H1893" s="46"/>
      <c r="I1893" s="46"/>
      <c r="J1893" s="46"/>
      <c r="K1893" s="46"/>
      <c r="L1893" s="46"/>
      <c r="M1893" s="46" t="str">
        <f aca="false">IF(OR(B1893="",I1893=""),"",IFERROR(INDEX('Comment flow'!$C$40:$C$46,MATCH(I1893,'Comment flow'!$A$40:$A$46,0)),""))</f>
        <v/>
      </c>
      <c r="N1893" s="46" t="str">
        <f aca="false">IF(B1893="","",IF(OR(I1893="",I1893="Open: needs a decision",L1893=""),"Open","Closed"))</f>
        <v/>
      </c>
      <c r="O1893" s="46"/>
      <c r="P1893" s="46" t="str">
        <f aca="false">IF(OR(B1893="",I1893&lt;&gt;"Save for a later revision"),"",IF(COUNTIF('Deferred edits'!$K$2:$K$201,A1893)&gt;0,"Yes","● Add to Deferred edits"))</f>
        <v/>
      </c>
    </row>
    <row r="1894" customFormat="false" ht="15" hidden="false" customHeight="false" outlineLevel="0" collapsed="false">
      <c r="A1894" s="46" t="s">
        <v>2189</v>
      </c>
      <c r="B1894" s="46"/>
      <c r="C1894" s="46"/>
      <c r="D1894" s="46"/>
      <c r="E1894" s="46"/>
      <c r="F1894" s="46"/>
      <c r="G1894" s="46"/>
      <c r="H1894" s="46"/>
      <c r="I1894" s="46"/>
      <c r="J1894" s="46"/>
      <c r="K1894" s="46"/>
      <c r="L1894" s="46"/>
      <c r="M1894" s="46" t="str">
        <f aca="false">IF(OR(B1894="",I1894=""),"",IFERROR(INDEX('Comment flow'!$C$40:$C$46,MATCH(I1894,'Comment flow'!$A$40:$A$46,0)),""))</f>
        <v/>
      </c>
      <c r="N1894" s="46" t="str">
        <f aca="false">IF(B1894="","",IF(OR(I1894="",I1894="Open: needs a decision",L1894=""),"Open","Closed"))</f>
        <v/>
      </c>
      <c r="O1894" s="46"/>
      <c r="P1894" s="46" t="str">
        <f aca="false">IF(OR(B1894="",I1894&lt;&gt;"Save for a later revision"),"",IF(COUNTIF('Deferred edits'!$K$2:$K$201,A1894)&gt;0,"Yes","● Add to Deferred edits"))</f>
        <v/>
      </c>
    </row>
    <row r="1895" customFormat="false" ht="15" hidden="false" customHeight="false" outlineLevel="0" collapsed="false">
      <c r="A1895" s="46" t="s">
        <v>2190</v>
      </c>
      <c r="B1895" s="46"/>
      <c r="C1895" s="46"/>
      <c r="D1895" s="46"/>
      <c r="E1895" s="46"/>
      <c r="F1895" s="46"/>
      <c r="G1895" s="46"/>
      <c r="H1895" s="46"/>
      <c r="I1895" s="46"/>
      <c r="J1895" s="46"/>
      <c r="K1895" s="46"/>
      <c r="L1895" s="46"/>
      <c r="M1895" s="46" t="str">
        <f aca="false">IF(OR(B1895="",I1895=""),"",IFERROR(INDEX('Comment flow'!$C$40:$C$46,MATCH(I1895,'Comment flow'!$A$40:$A$46,0)),""))</f>
        <v/>
      </c>
      <c r="N1895" s="46" t="str">
        <f aca="false">IF(B1895="","",IF(OR(I1895="",I1895="Open: needs a decision",L1895=""),"Open","Closed"))</f>
        <v/>
      </c>
      <c r="O1895" s="46"/>
      <c r="P1895" s="46" t="str">
        <f aca="false">IF(OR(B1895="",I1895&lt;&gt;"Save for a later revision"),"",IF(COUNTIF('Deferred edits'!$K$2:$K$201,A1895)&gt;0,"Yes","● Add to Deferred edits"))</f>
        <v/>
      </c>
    </row>
    <row r="1896" customFormat="false" ht="15" hidden="false" customHeight="false" outlineLevel="0" collapsed="false">
      <c r="A1896" s="46" t="s">
        <v>2191</v>
      </c>
      <c r="B1896" s="46"/>
      <c r="C1896" s="46"/>
      <c r="D1896" s="46"/>
      <c r="E1896" s="46"/>
      <c r="F1896" s="46"/>
      <c r="G1896" s="46"/>
      <c r="H1896" s="46"/>
      <c r="I1896" s="46"/>
      <c r="J1896" s="46"/>
      <c r="K1896" s="46"/>
      <c r="L1896" s="46"/>
      <c r="M1896" s="46" t="str">
        <f aca="false">IF(OR(B1896="",I1896=""),"",IFERROR(INDEX('Comment flow'!$C$40:$C$46,MATCH(I1896,'Comment flow'!$A$40:$A$46,0)),""))</f>
        <v/>
      </c>
      <c r="N1896" s="46" t="str">
        <f aca="false">IF(B1896="","",IF(OR(I1896="",I1896="Open: needs a decision",L1896=""),"Open","Closed"))</f>
        <v/>
      </c>
      <c r="O1896" s="46"/>
      <c r="P1896" s="46" t="str">
        <f aca="false">IF(OR(B1896="",I1896&lt;&gt;"Save for a later revision"),"",IF(COUNTIF('Deferred edits'!$K$2:$K$201,A1896)&gt;0,"Yes","● Add to Deferred edits"))</f>
        <v/>
      </c>
    </row>
    <row r="1897" customFormat="false" ht="15" hidden="false" customHeight="false" outlineLevel="0" collapsed="false">
      <c r="A1897" s="46" t="s">
        <v>2192</v>
      </c>
      <c r="B1897" s="46"/>
      <c r="C1897" s="46"/>
      <c r="D1897" s="46"/>
      <c r="E1897" s="46"/>
      <c r="F1897" s="46"/>
      <c r="G1897" s="46"/>
      <c r="H1897" s="46"/>
      <c r="I1897" s="46"/>
      <c r="J1897" s="46"/>
      <c r="K1897" s="46"/>
      <c r="L1897" s="46"/>
      <c r="M1897" s="46" t="str">
        <f aca="false">IF(OR(B1897="",I1897=""),"",IFERROR(INDEX('Comment flow'!$C$40:$C$46,MATCH(I1897,'Comment flow'!$A$40:$A$46,0)),""))</f>
        <v/>
      </c>
      <c r="N1897" s="46" t="str">
        <f aca="false">IF(B1897="","",IF(OR(I1897="",I1897="Open: needs a decision",L1897=""),"Open","Closed"))</f>
        <v/>
      </c>
      <c r="O1897" s="46"/>
      <c r="P1897" s="46" t="str">
        <f aca="false">IF(OR(B1897="",I1897&lt;&gt;"Save for a later revision"),"",IF(COUNTIF('Deferred edits'!$K$2:$K$201,A1897)&gt;0,"Yes","● Add to Deferred edits"))</f>
        <v/>
      </c>
    </row>
    <row r="1898" customFormat="false" ht="15" hidden="false" customHeight="false" outlineLevel="0" collapsed="false">
      <c r="A1898" s="46" t="s">
        <v>2193</v>
      </c>
      <c r="B1898" s="46"/>
      <c r="C1898" s="46"/>
      <c r="D1898" s="46"/>
      <c r="E1898" s="46"/>
      <c r="F1898" s="46"/>
      <c r="G1898" s="46"/>
      <c r="H1898" s="46"/>
      <c r="I1898" s="46"/>
      <c r="J1898" s="46"/>
      <c r="K1898" s="46"/>
      <c r="L1898" s="46"/>
      <c r="M1898" s="46" t="str">
        <f aca="false">IF(OR(B1898="",I1898=""),"",IFERROR(INDEX('Comment flow'!$C$40:$C$46,MATCH(I1898,'Comment flow'!$A$40:$A$46,0)),""))</f>
        <v/>
      </c>
      <c r="N1898" s="46" t="str">
        <f aca="false">IF(B1898="","",IF(OR(I1898="",I1898="Open: needs a decision",L1898=""),"Open","Closed"))</f>
        <v/>
      </c>
      <c r="O1898" s="46"/>
      <c r="P1898" s="46" t="str">
        <f aca="false">IF(OR(B1898="",I1898&lt;&gt;"Save for a later revision"),"",IF(COUNTIF('Deferred edits'!$K$2:$K$201,A1898)&gt;0,"Yes","● Add to Deferred edits"))</f>
        <v/>
      </c>
    </row>
    <row r="1899" customFormat="false" ht="15" hidden="false" customHeight="false" outlineLevel="0" collapsed="false">
      <c r="A1899" s="46" t="s">
        <v>2194</v>
      </c>
      <c r="B1899" s="46"/>
      <c r="C1899" s="46"/>
      <c r="D1899" s="46"/>
      <c r="E1899" s="46"/>
      <c r="F1899" s="46"/>
      <c r="G1899" s="46"/>
      <c r="H1899" s="46"/>
      <c r="I1899" s="46"/>
      <c r="J1899" s="46"/>
      <c r="K1899" s="46"/>
      <c r="L1899" s="46"/>
      <c r="M1899" s="46" t="str">
        <f aca="false">IF(OR(B1899="",I1899=""),"",IFERROR(INDEX('Comment flow'!$C$40:$C$46,MATCH(I1899,'Comment flow'!$A$40:$A$46,0)),""))</f>
        <v/>
      </c>
      <c r="N1899" s="46" t="str">
        <f aca="false">IF(B1899="","",IF(OR(I1899="",I1899="Open: needs a decision",L1899=""),"Open","Closed"))</f>
        <v/>
      </c>
      <c r="O1899" s="46"/>
      <c r="P1899" s="46" t="str">
        <f aca="false">IF(OR(B1899="",I1899&lt;&gt;"Save for a later revision"),"",IF(COUNTIF('Deferred edits'!$K$2:$K$201,A1899)&gt;0,"Yes","● Add to Deferred edits"))</f>
        <v/>
      </c>
    </row>
    <row r="1900" customFormat="false" ht="15" hidden="false" customHeight="false" outlineLevel="0" collapsed="false">
      <c r="A1900" s="46" t="s">
        <v>2195</v>
      </c>
      <c r="B1900" s="46"/>
      <c r="C1900" s="46"/>
      <c r="D1900" s="46"/>
      <c r="E1900" s="46"/>
      <c r="F1900" s="46"/>
      <c r="G1900" s="46"/>
      <c r="H1900" s="46"/>
      <c r="I1900" s="46"/>
      <c r="J1900" s="46"/>
      <c r="K1900" s="46"/>
      <c r="L1900" s="46"/>
      <c r="M1900" s="46" t="str">
        <f aca="false">IF(OR(B1900="",I1900=""),"",IFERROR(INDEX('Comment flow'!$C$40:$C$46,MATCH(I1900,'Comment flow'!$A$40:$A$46,0)),""))</f>
        <v/>
      </c>
      <c r="N1900" s="46" t="str">
        <f aca="false">IF(B1900="","",IF(OR(I1900="",I1900="Open: needs a decision",L1900=""),"Open","Closed"))</f>
        <v/>
      </c>
      <c r="O1900" s="46"/>
      <c r="P1900" s="46" t="str">
        <f aca="false">IF(OR(B1900="",I1900&lt;&gt;"Save for a later revision"),"",IF(COUNTIF('Deferred edits'!$K$2:$K$201,A1900)&gt;0,"Yes","● Add to Deferred edits"))</f>
        <v/>
      </c>
    </row>
    <row r="1901" customFormat="false" ht="15" hidden="false" customHeight="false" outlineLevel="0" collapsed="false">
      <c r="A1901" s="46" t="s">
        <v>2196</v>
      </c>
      <c r="B1901" s="46"/>
      <c r="C1901" s="46"/>
      <c r="D1901" s="46"/>
      <c r="E1901" s="46"/>
      <c r="F1901" s="46"/>
      <c r="G1901" s="46"/>
      <c r="H1901" s="46"/>
      <c r="I1901" s="46"/>
      <c r="J1901" s="46"/>
      <c r="K1901" s="46"/>
      <c r="L1901" s="46"/>
      <c r="M1901" s="46" t="str">
        <f aca="false">IF(OR(B1901="",I1901=""),"",IFERROR(INDEX('Comment flow'!$C$40:$C$46,MATCH(I1901,'Comment flow'!$A$40:$A$46,0)),""))</f>
        <v/>
      </c>
      <c r="N1901" s="46" t="str">
        <f aca="false">IF(B1901="","",IF(OR(I1901="",I1901="Open: needs a decision",L1901=""),"Open","Closed"))</f>
        <v/>
      </c>
      <c r="O1901" s="46"/>
      <c r="P1901" s="46" t="str">
        <f aca="false">IF(OR(B1901="",I1901&lt;&gt;"Save for a later revision"),"",IF(COUNTIF('Deferred edits'!$K$2:$K$201,A1901)&gt;0,"Yes","● Add to Deferred edits"))</f>
        <v/>
      </c>
    </row>
    <row r="1902" customFormat="false" ht="15" hidden="false" customHeight="false" outlineLevel="0" collapsed="false">
      <c r="A1902" s="46" t="s">
        <v>2197</v>
      </c>
      <c r="B1902" s="46"/>
      <c r="C1902" s="46"/>
      <c r="D1902" s="46"/>
      <c r="E1902" s="46"/>
      <c r="F1902" s="46"/>
      <c r="G1902" s="46"/>
      <c r="H1902" s="46"/>
      <c r="I1902" s="46"/>
      <c r="J1902" s="46"/>
      <c r="K1902" s="46"/>
      <c r="L1902" s="46"/>
      <c r="M1902" s="46" t="str">
        <f aca="false">IF(OR(B1902="",I1902=""),"",IFERROR(INDEX('Comment flow'!$C$40:$C$46,MATCH(I1902,'Comment flow'!$A$40:$A$46,0)),""))</f>
        <v/>
      </c>
      <c r="N1902" s="46" t="str">
        <f aca="false">IF(B1902="","",IF(OR(I1902="",I1902="Open: needs a decision",L1902=""),"Open","Closed"))</f>
        <v/>
      </c>
      <c r="O1902" s="46"/>
      <c r="P1902" s="46" t="str">
        <f aca="false">IF(OR(B1902="",I1902&lt;&gt;"Save for a later revision"),"",IF(COUNTIF('Deferred edits'!$K$2:$K$201,A1902)&gt;0,"Yes","● Add to Deferred edits"))</f>
        <v/>
      </c>
    </row>
    <row r="1903" customFormat="false" ht="15" hidden="false" customHeight="false" outlineLevel="0" collapsed="false">
      <c r="A1903" s="46" t="s">
        <v>2198</v>
      </c>
      <c r="B1903" s="46"/>
      <c r="C1903" s="46"/>
      <c r="D1903" s="46"/>
      <c r="E1903" s="46"/>
      <c r="F1903" s="46"/>
      <c r="G1903" s="46"/>
      <c r="H1903" s="46"/>
      <c r="I1903" s="46"/>
      <c r="J1903" s="46"/>
      <c r="K1903" s="46"/>
      <c r="L1903" s="46"/>
      <c r="M1903" s="46" t="str">
        <f aca="false">IF(OR(B1903="",I1903=""),"",IFERROR(INDEX('Comment flow'!$C$40:$C$46,MATCH(I1903,'Comment flow'!$A$40:$A$46,0)),""))</f>
        <v/>
      </c>
      <c r="N1903" s="46" t="str">
        <f aca="false">IF(B1903="","",IF(OR(I1903="",I1903="Open: needs a decision",L1903=""),"Open","Closed"))</f>
        <v/>
      </c>
      <c r="O1903" s="46"/>
      <c r="P1903" s="46" t="str">
        <f aca="false">IF(OR(B1903="",I1903&lt;&gt;"Save for a later revision"),"",IF(COUNTIF('Deferred edits'!$K$2:$K$201,A1903)&gt;0,"Yes","● Add to Deferred edits"))</f>
        <v/>
      </c>
    </row>
    <row r="1904" customFormat="false" ht="15" hidden="false" customHeight="false" outlineLevel="0" collapsed="false">
      <c r="A1904" s="46" t="s">
        <v>2199</v>
      </c>
      <c r="B1904" s="46"/>
      <c r="C1904" s="46"/>
      <c r="D1904" s="46"/>
      <c r="E1904" s="46"/>
      <c r="F1904" s="46"/>
      <c r="G1904" s="46"/>
      <c r="H1904" s="46"/>
      <c r="I1904" s="46"/>
      <c r="J1904" s="46"/>
      <c r="K1904" s="46"/>
      <c r="L1904" s="46"/>
      <c r="M1904" s="46" t="str">
        <f aca="false">IF(OR(B1904="",I1904=""),"",IFERROR(INDEX('Comment flow'!$C$40:$C$46,MATCH(I1904,'Comment flow'!$A$40:$A$46,0)),""))</f>
        <v/>
      </c>
      <c r="N1904" s="46" t="str">
        <f aca="false">IF(B1904="","",IF(OR(I1904="",I1904="Open: needs a decision",L1904=""),"Open","Closed"))</f>
        <v/>
      </c>
      <c r="O1904" s="46"/>
      <c r="P1904" s="46" t="str">
        <f aca="false">IF(OR(B1904="",I1904&lt;&gt;"Save for a later revision"),"",IF(COUNTIF('Deferred edits'!$K$2:$K$201,A1904)&gt;0,"Yes","● Add to Deferred edits"))</f>
        <v/>
      </c>
    </row>
    <row r="1905" customFormat="false" ht="15" hidden="false" customHeight="false" outlineLevel="0" collapsed="false">
      <c r="A1905" s="46" t="s">
        <v>2200</v>
      </c>
      <c r="B1905" s="46"/>
      <c r="C1905" s="46"/>
      <c r="D1905" s="46"/>
      <c r="E1905" s="46"/>
      <c r="F1905" s="46"/>
      <c r="G1905" s="46"/>
      <c r="H1905" s="46"/>
      <c r="I1905" s="46"/>
      <c r="J1905" s="46"/>
      <c r="K1905" s="46"/>
      <c r="L1905" s="46"/>
      <c r="M1905" s="46" t="str">
        <f aca="false">IF(OR(B1905="",I1905=""),"",IFERROR(INDEX('Comment flow'!$C$40:$C$46,MATCH(I1905,'Comment flow'!$A$40:$A$46,0)),""))</f>
        <v/>
      </c>
      <c r="N1905" s="46" t="str">
        <f aca="false">IF(B1905="","",IF(OR(I1905="",I1905="Open: needs a decision",L1905=""),"Open","Closed"))</f>
        <v/>
      </c>
      <c r="O1905" s="46"/>
      <c r="P1905" s="46" t="str">
        <f aca="false">IF(OR(B1905="",I1905&lt;&gt;"Save for a later revision"),"",IF(COUNTIF('Deferred edits'!$K$2:$K$201,A1905)&gt;0,"Yes","● Add to Deferred edits"))</f>
        <v/>
      </c>
    </row>
    <row r="1906" customFormat="false" ht="15" hidden="false" customHeight="false" outlineLevel="0" collapsed="false">
      <c r="A1906" s="46" t="s">
        <v>2201</v>
      </c>
      <c r="B1906" s="46"/>
      <c r="C1906" s="46"/>
      <c r="D1906" s="46"/>
      <c r="E1906" s="46"/>
      <c r="F1906" s="46"/>
      <c r="G1906" s="46"/>
      <c r="H1906" s="46"/>
      <c r="I1906" s="46"/>
      <c r="J1906" s="46"/>
      <c r="K1906" s="46"/>
      <c r="L1906" s="46"/>
      <c r="M1906" s="46" t="str">
        <f aca="false">IF(OR(B1906="",I1906=""),"",IFERROR(INDEX('Comment flow'!$C$40:$C$46,MATCH(I1906,'Comment flow'!$A$40:$A$46,0)),""))</f>
        <v/>
      </c>
      <c r="N1906" s="46" t="str">
        <f aca="false">IF(B1906="","",IF(OR(I1906="",I1906="Open: needs a decision",L1906=""),"Open","Closed"))</f>
        <v/>
      </c>
      <c r="O1906" s="46"/>
      <c r="P1906" s="46" t="str">
        <f aca="false">IF(OR(B1906="",I1906&lt;&gt;"Save for a later revision"),"",IF(COUNTIF('Deferred edits'!$K$2:$K$201,A1906)&gt;0,"Yes","● Add to Deferred edits"))</f>
        <v/>
      </c>
    </row>
    <row r="1907" customFormat="false" ht="15" hidden="false" customHeight="false" outlineLevel="0" collapsed="false">
      <c r="A1907" s="46" t="s">
        <v>2202</v>
      </c>
      <c r="B1907" s="46"/>
      <c r="C1907" s="46"/>
      <c r="D1907" s="46"/>
      <c r="E1907" s="46"/>
      <c r="F1907" s="46"/>
      <c r="G1907" s="46"/>
      <c r="H1907" s="46"/>
      <c r="I1907" s="46"/>
      <c r="J1907" s="46"/>
      <c r="K1907" s="46"/>
      <c r="L1907" s="46"/>
      <c r="M1907" s="46" t="str">
        <f aca="false">IF(OR(B1907="",I1907=""),"",IFERROR(INDEX('Comment flow'!$C$40:$C$46,MATCH(I1907,'Comment flow'!$A$40:$A$46,0)),""))</f>
        <v/>
      </c>
      <c r="N1907" s="46" t="str">
        <f aca="false">IF(B1907="","",IF(OR(I1907="",I1907="Open: needs a decision",L1907=""),"Open","Closed"))</f>
        <v/>
      </c>
      <c r="O1907" s="46"/>
      <c r="P1907" s="46" t="str">
        <f aca="false">IF(OR(B1907="",I1907&lt;&gt;"Save for a later revision"),"",IF(COUNTIF('Deferred edits'!$K$2:$K$201,A1907)&gt;0,"Yes","● Add to Deferred edits"))</f>
        <v/>
      </c>
    </row>
    <row r="1908" customFormat="false" ht="15" hidden="false" customHeight="false" outlineLevel="0" collapsed="false">
      <c r="A1908" s="46" t="s">
        <v>2203</v>
      </c>
      <c r="B1908" s="46"/>
      <c r="C1908" s="46"/>
      <c r="D1908" s="46"/>
      <c r="E1908" s="46"/>
      <c r="F1908" s="46"/>
      <c r="G1908" s="46"/>
      <c r="H1908" s="46"/>
      <c r="I1908" s="46"/>
      <c r="J1908" s="46"/>
      <c r="K1908" s="46"/>
      <c r="L1908" s="46"/>
      <c r="M1908" s="46" t="str">
        <f aca="false">IF(OR(B1908="",I1908=""),"",IFERROR(INDEX('Comment flow'!$C$40:$C$46,MATCH(I1908,'Comment flow'!$A$40:$A$46,0)),""))</f>
        <v/>
      </c>
      <c r="N1908" s="46" t="str">
        <f aca="false">IF(B1908="","",IF(OR(I1908="",I1908="Open: needs a decision",L1908=""),"Open","Closed"))</f>
        <v/>
      </c>
      <c r="O1908" s="46"/>
      <c r="P1908" s="46" t="str">
        <f aca="false">IF(OR(B1908="",I1908&lt;&gt;"Save for a later revision"),"",IF(COUNTIF('Deferred edits'!$K$2:$K$201,A1908)&gt;0,"Yes","● Add to Deferred edits"))</f>
        <v/>
      </c>
    </row>
    <row r="1909" customFormat="false" ht="15" hidden="false" customHeight="false" outlineLevel="0" collapsed="false">
      <c r="A1909" s="46" t="s">
        <v>2204</v>
      </c>
      <c r="B1909" s="46"/>
      <c r="C1909" s="46"/>
      <c r="D1909" s="46"/>
      <c r="E1909" s="46"/>
      <c r="F1909" s="46"/>
      <c r="G1909" s="46"/>
      <c r="H1909" s="46"/>
      <c r="I1909" s="46"/>
      <c r="J1909" s="46"/>
      <c r="K1909" s="46"/>
      <c r="L1909" s="46"/>
      <c r="M1909" s="46" t="str">
        <f aca="false">IF(OR(B1909="",I1909=""),"",IFERROR(INDEX('Comment flow'!$C$40:$C$46,MATCH(I1909,'Comment flow'!$A$40:$A$46,0)),""))</f>
        <v/>
      </c>
      <c r="N1909" s="46" t="str">
        <f aca="false">IF(B1909="","",IF(OR(I1909="",I1909="Open: needs a decision",L1909=""),"Open","Closed"))</f>
        <v/>
      </c>
      <c r="O1909" s="46"/>
      <c r="P1909" s="46" t="str">
        <f aca="false">IF(OR(B1909="",I1909&lt;&gt;"Save for a later revision"),"",IF(COUNTIF('Deferred edits'!$K$2:$K$201,A1909)&gt;0,"Yes","● Add to Deferred edits"))</f>
        <v/>
      </c>
    </row>
    <row r="1910" customFormat="false" ht="15" hidden="false" customHeight="false" outlineLevel="0" collapsed="false">
      <c r="A1910" s="46" t="s">
        <v>2205</v>
      </c>
      <c r="B1910" s="46"/>
      <c r="C1910" s="46"/>
      <c r="D1910" s="46"/>
      <c r="E1910" s="46"/>
      <c r="F1910" s="46"/>
      <c r="G1910" s="46"/>
      <c r="H1910" s="46"/>
      <c r="I1910" s="46"/>
      <c r="J1910" s="46"/>
      <c r="K1910" s="46"/>
      <c r="L1910" s="46"/>
      <c r="M1910" s="46" t="str">
        <f aca="false">IF(OR(B1910="",I1910=""),"",IFERROR(INDEX('Comment flow'!$C$40:$C$46,MATCH(I1910,'Comment flow'!$A$40:$A$46,0)),""))</f>
        <v/>
      </c>
      <c r="N1910" s="46" t="str">
        <f aca="false">IF(B1910="","",IF(OR(I1910="",I1910="Open: needs a decision",L1910=""),"Open","Closed"))</f>
        <v/>
      </c>
      <c r="O1910" s="46"/>
      <c r="P1910" s="46" t="str">
        <f aca="false">IF(OR(B1910="",I1910&lt;&gt;"Save for a later revision"),"",IF(COUNTIF('Deferred edits'!$K$2:$K$201,A1910)&gt;0,"Yes","● Add to Deferred edits"))</f>
        <v/>
      </c>
    </row>
    <row r="1911" customFormat="false" ht="15" hidden="false" customHeight="false" outlineLevel="0" collapsed="false">
      <c r="A1911" s="46" t="s">
        <v>2206</v>
      </c>
      <c r="B1911" s="46"/>
      <c r="C1911" s="46"/>
      <c r="D1911" s="46"/>
      <c r="E1911" s="46"/>
      <c r="F1911" s="46"/>
      <c r="G1911" s="46"/>
      <c r="H1911" s="46"/>
      <c r="I1911" s="46"/>
      <c r="J1911" s="46"/>
      <c r="K1911" s="46"/>
      <c r="L1911" s="46"/>
      <c r="M1911" s="46" t="str">
        <f aca="false">IF(OR(B1911="",I1911=""),"",IFERROR(INDEX('Comment flow'!$C$40:$C$46,MATCH(I1911,'Comment flow'!$A$40:$A$46,0)),""))</f>
        <v/>
      </c>
      <c r="N1911" s="46" t="str">
        <f aca="false">IF(B1911="","",IF(OR(I1911="",I1911="Open: needs a decision",L1911=""),"Open","Closed"))</f>
        <v/>
      </c>
      <c r="O1911" s="46"/>
      <c r="P1911" s="46" t="str">
        <f aca="false">IF(OR(B1911="",I1911&lt;&gt;"Save for a later revision"),"",IF(COUNTIF('Deferred edits'!$K$2:$K$201,A1911)&gt;0,"Yes","● Add to Deferred edits"))</f>
        <v/>
      </c>
    </row>
    <row r="1912" customFormat="false" ht="15" hidden="false" customHeight="false" outlineLevel="0" collapsed="false">
      <c r="A1912" s="46" t="s">
        <v>2207</v>
      </c>
      <c r="B1912" s="46"/>
      <c r="C1912" s="46"/>
      <c r="D1912" s="46"/>
      <c r="E1912" s="46"/>
      <c r="F1912" s="46"/>
      <c r="G1912" s="46"/>
      <c r="H1912" s="46"/>
      <c r="I1912" s="46"/>
      <c r="J1912" s="46"/>
      <c r="K1912" s="46"/>
      <c r="L1912" s="46"/>
      <c r="M1912" s="46" t="str">
        <f aca="false">IF(OR(B1912="",I1912=""),"",IFERROR(INDEX('Comment flow'!$C$40:$C$46,MATCH(I1912,'Comment flow'!$A$40:$A$46,0)),""))</f>
        <v/>
      </c>
      <c r="N1912" s="46" t="str">
        <f aca="false">IF(B1912="","",IF(OR(I1912="",I1912="Open: needs a decision",L1912=""),"Open","Closed"))</f>
        <v/>
      </c>
      <c r="O1912" s="46"/>
      <c r="P1912" s="46" t="str">
        <f aca="false">IF(OR(B1912="",I1912&lt;&gt;"Save for a later revision"),"",IF(COUNTIF('Deferred edits'!$K$2:$K$201,A1912)&gt;0,"Yes","● Add to Deferred edits"))</f>
        <v/>
      </c>
    </row>
    <row r="1913" customFormat="false" ht="15" hidden="false" customHeight="false" outlineLevel="0" collapsed="false">
      <c r="A1913" s="46" t="s">
        <v>2208</v>
      </c>
      <c r="B1913" s="46"/>
      <c r="C1913" s="46"/>
      <c r="D1913" s="46"/>
      <c r="E1913" s="46"/>
      <c r="F1913" s="46"/>
      <c r="G1913" s="46"/>
      <c r="H1913" s="46"/>
      <c r="I1913" s="46"/>
      <c r="J1913" s="46"/>
      <c r="K1913" s="46"/>
      <c r="L1913" s="46"/>
      <c r="M1913" s="46" t="str">
        <f aca="false">IF(OR(B1913="",I1913=""),"",IFERROR(INDEX('Comment flow'!$C$40:$C$46,MATCH(I1913,'Comment flow'!$A$40:$A$46,0)),""))</f>
        <v/>
      </c>
      <c r="N1913" s="46" t="str">
        <f aca="false">IF(B1913="","",IF(OR(I1913="",I1913="Open: needs a decision",L1913=""),"Open","Closed"))</f>
        <v/>
      </c>
      <c r="O1913" s="46"/>
      <c r="P1913" s="46" t="str">
        <f aca="false">IF(OR(B1913="",I1913&lt;&gt;"Save for a later revision"),"",IF(COUNTIF('Deferred edits'!$K$2:$K$201,A1913)&gt;0,"Yes","● Add to Deferred edits"))</f>
        <v/>
      </c>
    </row>
    <row r="1914" customFormat="false" ht="15" hidden="false" customHeight="false" outlineLevel="0" collapsed="false">
      <c r="A1914" s="46" t="s">
        <v>2209</v>
      </c>
      <c r="B1914" s="46"/>
      <c r="C1914" s="46"/>
      <c r="D1914" s="46"/>
      <c r="E1914" s="46"/>
      <c r="F1914" s="46"/>
      <c r="G1914" s="46"/>
      <c r="H1914" s="46"/>
      <c r="I1914" s="46"/>
      <c r="J1914" s="46"/>
      <c r="K1914" s="46"/>
      <c r="L1914" s="46"/>
      <c r="M1914" s="46" t="str">
        <f aca="false">IF(OR(B1914="",I1914=""),"",IFERROR(INDEX('Comment flow'!$C$40:$C$46,MATCH(I1914,'Comment flow'!$A$40:$A$46,0)),""))</f>
        <v/>
      </c>
      <c r="N1914" s="46" t="str">
        <f aca="false">IF(B1914="","",IF(OR(I1914="",I1914="Open: needs a decision",L1914=""),"Open","Closed"))</f>
        <v/>
      </c>
      <c r="O1914" s="46"/>
      <c r="P1914" s="46" t="str">
        <f aca="false">IF(OR(B1914="",I1914&lt;&gt;"Save for a later revision"),"",IF(COUNTIF('Deferred edits'!$K$2:$K$201,A1914)&gt;0,"Yes","● Add to Deferred edits"))</f>
        <v/>
      </c>
    </row>
    <row r="1915" customFormat="false" ht="15" hidden="false" customHeight="false" outlineLevel="0" collapsed="false">
      <c r="A1915" s="46" t="s">
        <v>2210</v>
      </c>
      <c r="B1915" s="46"/>
      <c r="C1915" s="46"/>
      <c r="D1915" s="46"/>
      <c r="E1915" s="46"/>
      <c r="F1915" s="46"/>
      <c r="G1915" s="46"/>
      <c r="H1915" s="46"/>
      <c r="I1915" s="46"/>
      <c r="J1915" s="46"/>
      <c r="K1915" s="46"/>
      <c r="L1915" s="46"/>
      <c r="M1915" s="46" t="str">
        <f aca="false">IF(OR(B1915="",I1915=""),"",IFERROR(INDEX('Comment flow'!$C$40:$C$46,MATCH(I1915,'Comment flow'!$A$40:$A$46,0)),""))</f>
        <v/>
      </c>
      <c r="N1915" s="46" t="str">
        <f aca="false">IF(B1915="","",IF(OR(I1915="",I1915="Open: needs a decision",L1915=""),"Open","Closed"))</f>
        <v/>
      </c>
      <c r="O1915" s="46"/>
      <c r="P1915" s="46" t="str">
        <f aca="false">IF(OR(B1915="",I1915&lt;&gt;"Save for a later revision"),"",IF(COUNTIF('Deferred edits'!$K$2:$K$201,A1915)&gt;0,"Yes","● Add to Deferred edits"))</f>
        <v/>
      </c>
    </row>
    <row r="1916" customFormat="false" ht="15" hidden="false" customHeight="false" outlineLevel="0" collapsed="false">
      <c r="A1916" s="46" t="s">
        <v>2211</v>
      </c>
      <c r="B1916" s="46"/>
      <c r="C1916" s="46"/>
      <c r="D1916" s="46"/>
      <c r="E1916" s="46"/>
      <c r="F1916" s="46"/>
      <c r="G1916" s="46"/>
      <c r="H1916" s="46"/>
      <c r="I1916" s="46"/>
      <c r="J1916" s="46"/>
      <c r="K1916" s="46"/>
      <c r="L1916" s="46"/>
      <c r="M1916" s="46" t="str">
        <f aca="false">IF(OR(B1916="",I1916=""),"",IFERROR(INDEX('Comment flow'!$C$40:$C$46,MATCH(I1916,'Comment flow'!$A$40:$A$46,0)),""))</f>
        <v/>
      </c>
      <c r="N1916" s="46" t="str">
        <f aca="false">IF(B1916="","",IF(OR(I1916="",I1916="Open: needs a decision",L1916=""),"Open","Closed"))</f>
        <v/>
      </c>
      <c r="O1916" s="46"/>
      <c r="P1916" s="46" t="str">
        <f aca="false">IF(OR(B1916="",I1916&lt;&gt;"Save for a later revision"),"",IF(COUNTIF('Deferred edits'!$K$2:$K$201,A1916)&gt;0,"Yes","● Add to Deferred edits"))</f>
        <v/>
      </c>
    </row>
    <row r="1917" customFormat="false" ht="15" hidden="false" customHeight="false" outlineLevel="0" collapsed="false">
      <c r="A1917" s="46" t="s">
        <v>2212</v>
      </c>
      <c r="B1917" s="46"/>
      <c r="C1917" s="46"/>
      <c r="D1917" s="46"/>
      <c r="E1917" s="46"/>
      <c r="F1917" s="46"/>
      <c r="G1917" s="46"/>
      <c r="H1917" s="46"/>
      <c r="I1917" s="46"/>
      <c r="J1917" s="46"/>
      <c r="K1917" s="46"/>
      <c r="L1917" s="46"/>
      <c r="M1917" s="46" t="str">
        <f aca="false">IF(OR(B1917="",I1917=""),"",IFERROR(INDEX('Comment flow'!$C$40:$C$46,MATCH(I1917,'Comment flow'!$A$40:$A$46,0)),""))</f>
        <v/>
      </c>
      <c r="N1917" s="46" t="str">
        <f aca="false">IF(B1917="","",IF(OR(I1917="",I1917="Open: needs a decision",L1917=""),"Open","Closed"))</f>
        <v/>
      </c>
      <c r="O1917" s="46"/>
      <c r="P1917" s="46" t="str">
        <f aca="false">IF(OR(B1917="",I1917&lt;&gt;"Save for a later revision"),"",IF(COUNTIF('Deferred edits'!$K$2:$K$201,A1917)&gt;0,"Yes","● Add to Deferred edits"))</f>
        <v/>
      </c>
    </row>
    <row r="1918" customFormat="false" ht="15" hidden="false" customHeight="false" outlineLevel="0" collapsed="false">
      <c r="A1918" s="46" t="s">
        <v>2213</v>
      </c>
      <c r="B1918" s="46"/>
      <c r="C1918" s="46"/>
      <c r="D1918" s="46"/>
      <c r="E1918" s="46"/>
      <c r="F1918" s="46"/>
      <c r="G1918" s="46"/>
      <c r="H1918" s="46"/>
      <c r="I1918" s="46"/>
      <c r="J1918" s="46"/>
      <c r="K1918" s="46"/>
      <c r="L1918" s="46"/>
      <c r="M1918" s="46" t="str">
        <f aca="false">IF(OR(B1918="",I1918=""),"",IFERROR(INDEX('Comment flow'!$C$40:$C$46,MATCH(I1918,'Comment flow'!$A$40:$A$46,0)),""))</f>
        <v/>
      </c>
      <c r="N1918" s="46" t="str">
        <f aca="false">IF(B1918="","",IF(OR(I1918="",I1918="Open: needs a decision",L1918=""),"Open","Closed"))</f>
        <v/>
      </c>
      <c r="O1918" s="46"/>
      <c r="P1918" s="46" t="str">
        <f aca="false">IF(OR(B1918="",I1918&lt;&gt;"Save for a later revision"),"",IF(COUNTIF('Deferred edits'!$K$2:$K$201,A1918)&gt;0,"Yes","● Add to Deferred edits"))</f>
        <v/>
      </c>
    </row>
    <row r="1919" customFormat="false" ht="15" hidden="false" customHeight="false" outlineLevel="0" collapsed="false">
      <c r="A1919" s="46" t="s">
        <v>2214</v>
      </c>
      <c r="B1919" s="46"/>
      <c r="C1919" s="46"/>
      <c r="D1919" s="46"/>
      <c r="E1919" s="46"/>
      <c r="F1919" s="46"/>
      <c r="G1919" s="46"/>
      <c r="H1919" s="46"/>
      <c r="I1919" s="46"/>
      <c r="J1919" s="46"/>
      <c r="K1919" s="46"/>
      <c r="L1919" s="46"/>
      <c r="M1919" s="46" t="str">
        <f aca="false">IF(OR(B1919="",I1919=""),"",IFERROR(INDEX('Comment flow'!$C$40:$C$46,MATCH(I1919,'Comment flow'!$A$40:$A$46,0)),""))</f>
        <v/>
      </c>
      <c r="N1919" s="46" t="str">
        <f aca="false">IF(B1919="","",IF(OR(I1919="",I1919="Open: needs a decision",L1919=""),"Open","Closed"))</f>
        <v/>
      </c>
      <c r="O1919" s="46"/>
      <c r="P1919" s="46" t="str">
        <f aca="false">IF(OR(B1919="",I1919&lt;&gt;"Save for a later revision"),"",IF(COUNTIF('Deferred edits'!$K$2:$K$201,A1919)&gt;0,"Yes","● Add to Deferred edits"))</f>
        <v/>
      </c>
    </row>
    <row r="1920" customFormat="false" ht="15" hidden="false" customHeight="false" outlineLevel="0" collapsed="false">
      <c r="A1920" s="46" t="s">
        <v>2215</v>
      </c>
      <c r="B1920" s="46"/>
      <c r="C1920" s="46"/>
      <c r="D1920" s="46"/>
      <c r="E1920" s="46"/>
      <c r="F1920" s="46"/>
      <c r="G1920" s="46"/>
      <c r="H1920" s="46"/>
      <c r="I1920" s="46"/>
      <c r="J1920" s="46"/>
      <c r="K1920" s="46"/>
      <c r="L1920" s="46"/>
      <c r="M1920" s="46" t="str">
        <f aca="false">IF(OR(B1920="",I1920=""),"",IFERROR(INDEX('Comment flow'!$C$40:$C$46,MATCH(I1920,'Comment flow'!$A$40:$A$46,0)),""))</f>
        <v/>
      </c>
      <c r="N1920" s="46" t="str">
        <f aca="false">IF(B1920="","",IF(OR(I1920="",I1920="Open: needs a decision",L1920=""),"Open","Closed"))</f>
        <v/>
      </c>
      <c r="O1920" s="46"/>
      <c r="P1920" s="46" t="str">
        <f aca="false">IF(OR(B1920="",I1920&lt;&gt;"Save for a later revision"),"",IF(COUNTIF('Deferred edits'!$K$2:$K$201,A1920)&gt;0,"Yes","● Add to Deferred edits"))</f>
        <v/>
      </c>
    </row>
    <row r="1921" customFormat="false" ht="15" hidden="false" customHeight="false" outlineLevel="0" collapsed="false">
      <c r="A1921" s="46" t="s">
        <v>2216</v>
      </c>
      <c r="B1921" s="46"/>
      <c r="C1921" s="46"/>
      <c r="D1921" s="46"/>
      <c r="E1921" s="46"/>
      <c r="F1921" s="46"/>
      <c r="G1921" s="46"/>
      <c r="H1921" s="46"/>
      <c r="I1921" s="46"/>
      <c r="J1921" s="46"/>
      <c r="K1921" s="46"/>
      <c r="L1921" s="46"/>
      <c r="M1921" s="46" t="str">
        <f aca="false">IF(OR(B1921="",I1921=""),"",IFERROR(INDEX('Comment flow'!$C$40:$C$46,MATCH(I1921,'Comment flow'!$A$40:$A$46,0)),""))</f>
        <v/>
      </c>
      <c r="N1921" s="46" t="str">
        <f aca="false">IF(B1921="","",IF(OR(I1921="",I1921="Open: needs a decision",L1921=""),"Open","Closed"))</f>
        <v/>
      </c>
      <c r="O1921" s="46"/>
      <c r="P1921" s="46" t="str">
        <f aca="false">IF(OR(B1921="",I1921&lt;&gt;"Save for a later revision"),"",IF(COUNTIF('Deferred edits'!$K$2:$K$201,A1921)&gt;0,"Yes","● Add to Deferred edits"))</f>
        <v/>
      </c>
    </row>
    <row r="1922" customFormat="false" ht="15" hidden="false" customHeight="false" outlineLevel="0" collapsed="false">
      <c r="A1922" s="46" t="s">
        <v>2217</v>
      </c>
      <c r="B1922" s="46"/>
      <c r="C1922" s="46"/>
      <c r="D1922" s="46"/>
      <c r="E1922" s="46"/>
      <c r="F1922" s="46"/>
      <c r="G1922" s="46"/>
      <c r="H1922" s="46"/>
      <c r="I1922" s="46"/>
      <c r="J1922" s="46"/>
      <c r="K1922" s="46"/>
      <c r="L1922" s="46"/>
      <c r="M1922" s="46" t="str">
        <f aca="false">IF(OR(B1922="",I1922=""),"",IFERROR(INDEX('Comment flow'!$C$40:$C$46,MATCH(I1922,'Comment flow'!$A$40:$A$46,0)),""))</f>
        <v/>
      </c>
      <c r="N1922" s="46" t="str">
        <f aca="false">IF(B1922="","",IF(OR(I1922="",I1922="Open: needs a decision",L1922=""),"Open","Closed"))</f>
        <v/>
      </c>
      <c r="O1922" s="46"/>
      <c r="P1922" s="46" t="str">
        <f aca="false">IF(OR(B1922="",I1922&lt;&gt;"Save for a later revision"),"",IF(COUNTIF('Deferred edits'!$K$2:$K$201,A1922)&gt;0,"Yes","● Add to Deferred edits"))</f>
        <v/>
      </c>
    </row>
    <row r="1923" customFormat="false" ht="15" hidden="false" customHeight="false" outlineLevel="0" collapsed="false">
      <c r="A1923" s="46" t="s">
        <v>2218</v>
      </c>
      <c r="B1923" s="46"/>
      <c r="C1923" s="46"/>
      <c r="D1923" s="46"/>
      <c r="E1923" s="46"/>
      <c r="F1923" s="46"/>
      <c r="G1923" s="46"/>
      <c r="H1923" s="46"/>
      <c r="I1923" s="46"/>
      <c r="J1923" s="46"/>
      <c r="K1923" s="46"/>
      <c r="L1923" s="46"/>
      <c r="M1923" s="46" t="str">
        <f aca="false">IF(OR(B1923="",I1923=""),"",IFERROR(INDEX('Comment flow'!$C$40:$C$46,MATCH(I1923,'Comment flow'!$A$40:$A$46,0)),""))</f>
        <v/>
      </c>
      <c r="N1923" s="46" t="str">
        <f aca="false">IF(B1923="","",IF(OR(I1923="",I1923="Open: needs a decision",L1923=""),"Open","Closed"))</f>
        <v/>
      </c>
      <c r="O1923" s="46"/>
      <c r="P1923" s="46" t="str">
        <f aca="false">IF(OR(B1923="",I1923&lt;&gt;"Save for a later revision"),"",IF(COUNTIF('Deferred edits'!$K$2:$K$201,A1923)&gt;0,"Yes","● Add to Deferred edits"))</f>
        <v/>
      </c>
    </row>
    <row r="1924" customFormat="false" ht="15" hidden="false" customHeight="false" outlineLevel="0" collapsed="false">
      <c r="A1924" s="46" t="s">
        <v>2219</v>
      </c>
      <c r="B1924" s="46"/>
      <c r="C1924" s="46"/>
      <c r="D1924" s="46"/>
      <c r="E1924" s="46"/>
      <c r="F1924" s="46"/>
      <c r="G1924" s="46"/>
      <c r="H1924" s="46"/>
      <c r="I1924" s="46"/>
      <c r="J1924" s="46"/>
      <c r="K1924" s="46"/>
      <c r="L1924" s="46"/>
      <c r="M1924" s="46" t="str">
        <f aca="false">IF(OR(B1924="",I1924=""),"",IFERROR(INDEX('Comment flow'!$C$40:$C$46,MATCH(I1924,'Comment flow'!$A$40:$A$46,0)),""))</f>
        <v/>
      </c>
      <c r="N1924" s="46" t="str">
        <f aca="false">IF(B1924="","",IF(OR(I1924="",I1924="Open: needs a decision",L1924=""),"Open","Closed"))</f>
        <v/>
      </c>
      <c r="O1924" s="46"/>
      <c r="P1924" s="46" t="str">
        <f aca="false">IF(OR(B1924="",I1924&lt;&gt;"Save for a later revision"),"",IF(COUNTIF('Deferred edits'!$K$2:$K$201,A1924)&gt;0,"Yes","● Add to Deferred edits"))</f>
        <v/>
      </c>
    </row>
    <row r="1925" customFormat="false" ht="15" hidden="false" customHeight="false" outlineLevel="0" collapsed="false">
      <c r="A1925" s="46" t="s">
        <v>2220</v>
      </c>
      <c r="B1925" s="46"/>
      <c r="C1925" s="46"/>
      <c r="D1925" s="46"/>
      <c r="E1925" s="46"/>
      <c r="F1925" s="46"/>
      <c r="G1925" s="46"/>
      <c r="H1925" s="46"/>
      <c r="I1925" s="46"/>
      <c r="J1925" s="46"/>
      <c r="K1925" s="46"/>
      <c r="L1925" s="46"/>
      <c r="M1925" s="46" t="str">
        <f aca="false">IF(OR(B1925="",I1925=""),"",IFERROR(INDEX('Comment flow'!$C$40:$C$46,MATCH(I1925,'Comment flow'!$A$40:$A$46,0)),""))</f>
        <v/>
      </c>
      <c r="N1925" s="46" t="str">
        <f aca="false">IF(B1925="","",IF(OR(I1925="",I1925="Open: needs a decision",L1925=""),"Open","Closed"))</f>
        <v/>
      </c>
      <c r="O1925" s="46"/>
      <c r="P1925" s="46" t="str">
        <f aca="false">IF(OR(B1925="",I1925&lt;&gt;"Save for a later revision"),"",IF(COUNTIF('Deferred edits'!$K$2:$K$201,A1925)&gt;0,"Yes","● Add to Deferred edits"))</f>
        <v/>
      </c>
    </row>
    <row r="1926" customFormat="false" ht="15" hidden="false" customHeight="false" outlineLevel="0" collapsed="false">
      <c r="A1926" s="46" t="s">
        <v>2221</v>
      </c>
      <c r="B1926" s="46"/>
      <c r="C1926" s="46"/>
      <c r="D1926" s="46"/>
      <c r="E1926" s="46"/>
      <c r="F1926" s="46"/>
      <c r="G1926" s="46"/>
      <c r="H1926" s="46"/>
      <c r="I1926" s="46"/>
      <c r="J1926" s="46"/>
      <c r="K1926" s="46"/>
      <c r="L1926" s="46"/>
      <c r="M1926" s="46" t="str">
        <f aca="false">IF(OR(B1926="",I1926=""),"",IFERROR(INDEX('Comment flow'!$C$40:$C$46,MATCH(I1926,'Comment flow'!$A$40:$A$46,0)),""))</f>
        <v/>
      </c>
      <c r="N1926" s="46" t="str">
        <f aca="false">IF(B1926="","",IF(OR(I1926="",I1926="Open: needs a decision",L1926=""),"Open","Closed"))</f>
        <v/>
      </c>
      <c r="O1926" s="46"/>
      <c r="P1926" s="46" t="str">
        <f aca="false">IF(OR(B1926="",I1926&lt;&gt;"Save for a later revision"),"",IF(COUNTIF('Deferred edits'!$K$2:$K$201,A1926)&gt;0,"Yes","● Add to Deferred edits"))</f>
        <v/>
      </c>
    </row>
    <row r="1927" customFormat="false" ht="15" hidden="false" customHeight="false" outlineLevel="0" collapsed="false">
      <c r="A1927" s="46" t="s">
        <v>2222</v>
      </c>
      <c r="B1927" s="46"/>
      <c r="C1927" s="46"/>
      <c r="D1927" s="46"/>
      <c r="E1927" s="46"/>
      <c r="F1927" s="46"/>
      <c r="G1927" s="46"/>
      <c r="H1927" s="46"/>
      <c r="I1927" s="46"/>
      <c r="J1927" s="46"/>
      <c r="K1927" s="46"/>
      <c r="L1927" s="46"/>
      <c r="M1927" s="46" t="str">
        <f aca="false">IF(OR(B1927="",I1927=""),"",IFERROR(INDEX('Comment flow'!$C$40:$C$46,MATCH(I1927,'Comment flow'!$A$40:$A$46,0)),""))</f>
        <v/>
      </c>
      <c r="N1927" s="46" t="str">
        <f aca="false">IF(B1927="","",IF(OR(I1927="",I1927="Open: needs a decision",L1927=""),"Open","Closed"))</f>
        <v/>
      </c>
      <c r="O1927" s="46"/>
      <c r="P1927" s="46" t="str">
        <f aca="false">IF(OR(B1927="",I1927&lt;&gt;"Save for a later revision"),"",IF(COUNTIF('Deferred edits'!$K$2:$K$201,A1927)&gt;0,"Yes","● Add to Deferred edits"))</f>
        <v/>
      </c>
    </row>
    <row r="1928" customFormat="false" ht="15" hidden="false" customHeight="false" outlineLevel="0" collapsed="false">
      <c r="A1928" s="46" t="s">
        <v>2223</v>
      </c>
      <c r="B1928" s="46"/>
      <c r="C1928" s="46"/>
      <c r="D1928" s="46"/>
      <c r="E1928" s="46"/>
      <c r="F1928" s="46"/>
      <c r="G1928" s="46"/>
      <c r="H1928" s="46"/>
      <c r="I1928" s="46"/>
      <c r="J1928" s="46"/>
      <c r="K1928" s="46"/>
      <c r="L1928" s="46"/>
      <c r="M1928" s="46" t="str">
        <f aca="false">IF(OR(B1928="",I1928=""),"",IFERROR(INDEX('Comment flow'!$C$40:$C$46,MATCH(I1928,'Comment flow'!$A$40:$A$46,0)),""))</f>
        <v/>
      </c>
      <c r="N1928" s="46" t="str">
        <f aca="false">IF(B1928="","",IF(OR(I1928="",I1928="Open: needs a decision",L1928=""),"Open","Closed"))</f>
        <v/>
      </c>
      <c r="O1928" s="46"/>
      <c r="P1928" s="46" t="str">
        <f aca="false">IF(OR(B1928="",I1928&lt;&gt;"Save for a later revision"),"",IF(COUNTIF('Deferred edits'!$K$2:$K$201,A1928)&gt;0,"Yes","● Add to Deferred edits"))</f>
        <v/>
      </c>
    </row>
    <row r="1929" customFormat="false" ht="15" hidden="false" customHeight="false" outlineLevel="0" collapsed="false">
      <c r="A1929" s="46" t="s">
        <v>2224</v>
      </c>
      <c r="B1929" s="46"/>
      <c r="C1929" s="46"/>
      <c r="D1929" s="46"/>
      <c r="E1929" s="46"/>
      <c r="F1929" s="46"/>
      <c r="G1929" s="46"/>
      <c r="H1929" s="46"/>
      <c r="I1929" s="46"/>
      <c r="J1929" s="46"/>
      <c r="K1929" s="46"/>
      <c r="L1929" s="46"/>
      <c r="M1929" s="46" t="str">
        <f aca="false">IF(OR(B1929="",I1929=""),"",IFERROR(INDEX('Comment flow'!$C$40:$C$46,MATCH(I1929,'Comment flow'!$A$40:$A$46,0)),""))</f>
        <v/>
      </c>
      <c r="N1929" s="46" t="str">
        <f aca="false">IF(B1929="","",IF(OR(I1929="",I1929="Open: needs a decision",L1929=""),"Open","Closed"))</f>
        <v/>
      </c>
      <c r="O1929" s="46"/>
      <c r="P1929" s="46" t="str">
        <f aca="false">IF(OR(B1929="",I1929&lt;&gt;"Save for a later revision"),"",IF(COUNTIF('Deferred edits'!$K$2:$K$201,A1929)&gt;0,"Yes","● Add to Deferred edits"))</f>
        <v/>
      </c>
    </row>
    <row r="1930" customFormat="false" ht="15" hidden="false" customHeight="false" outlineLevel="0" collapsed="false">
      <c r="A1930" s="46" t="s">
        <v>2225</v>
      </c>
      <c r="B1930" s="46"/>
      <c r="C1930" s="46"/>
      <c r="D1930" s="46"/>
      <c r="E1930" s="46"/>
      <c r="F1930" s="46"/>
      <c r="G1930" s="46"/>
      <c r="H1930" s="46"/>
      <c r="I1930" s="46"/>
      <c r="J1930" s="46"/>
      <c r="K1930" s="46"/>
      <c r="L1930" s="46"/>
      <c r="M1930" s="46" t="str">
        <f aca="false">IF(OR(B1930="",I1930=""),"",IFERROR(INDEX('Comment flow'!$C$40:$C$46,MATCH(I1930,'Comment flow'!$A$40:$A$46,0)),""))</f>
        <v/>
      </c>
      <c r="N1930" s="46" t="str">
        <f aca="false">IF(B1930="","",IF(OR(I1930="",I1930="Open: needs a decision",L1930=""),"Open","Closed"))</f>
        <v/>
      </c>
      <c r="O1930" s="46"/>
      <c r="P1930" s="46" t="str">
        <f aca="false">IF(OR(B1930="",I1930&lt;&gt;"Save for a later revision"),"",IF(COUNTIF('Deferred edits'!$K$2:$K$201,A1930)&gt;0,"Yes","● Add to Deferred edits"))</f>
        <v/>
      </c>
    </row>
    <row r="1931" customFormat="false" ht="15" hidden="false" customHeight="false" outlineLevel="0" collapsed="false">
      <c r="A1931" s="46" t="s">
        <v>2226</v>
      </c>
      <c r="B1931" s="46"/>
      <c r="C1931" s="46"/>
      <c r="D1931" s="46"/>
      <c r="E1931" s="46"/>
      <c r="F1931" s="46"/>
      <c r="G1931" s="46"/>
      <c r="H1931" s="46"/>
      <c r="I1931" s="46"/>
      <c r="J1931" s="46"/>
      <c r="K1931" s="46"/>
      <c r="L1931" s="46"/>
      <c r="M1931" s="46" t="str">
        <f aca="false">IF(OR(B1931="",I1931=""),"",IFERROR(INDEX('Comment flow'!$C$40:$C$46,MATCH(I1931,'Comment flow'!$A$40:$A$46,0)),""))</f>
        <v/>
      </c>
      <c r="N1931" s="46" t="str">
        <f aca="false">IF(B1931="","",IF(OR(I1931="",I1931="Open: needs a decision",L1931=""),"Open","Closed"))</f>
        <v/>
      </c>
      <c r="O1931" s="46"/>
      <c r="P1931" s="46" t="str">
        <f aca="false">IF(OR(B1931="",I1931&lt;&gt;"Save for a later revision"),"",IF(COUNTIF('Deferred edits'!$K$2:$K$201,A1931)&gt;0,"Yes","● Add to Deferred edits"))</f>
        <v/>
      </c>
    </row>
    <row r="1932" customFormat="false" ht="15" hidden="false" customHeight="false" outlineLevel="0" collapsed="false">
      <c r="A1932" s="46" t="s">
        <v>2227</v>
      </c>
      <c r="B1932" s="46"/>
      <c r="C1932" s="46"/>
      <c r="D1932" s="46"/>
      <c r="E1932" s="46"/>
      <c r="F1932" s="46"/>
      <c r="G1932" s="46"/>
      <c r="H1932" s="46"/>
      <c r="I1932" s="46"/>
      <c r="J1932" s="46"/>
      <c r="K1932" s="46"/>
      <c r="L1932" s="46"/>
      <c r="M1932" s="46" t="str">
        <f aca="false">IF(OR(B1932="",I1932=""),"",IFERROR(INDEX('Comment flow'!$C$40:$C$46,MATCH(I1932,'Comment flow'!$A$40:$A$46,0)),""))</f>
        <v/>
      </c>
      <c r="N1932" s="46" t="str">
        <f aca="false">IF(B1932="","",IF(OR(I1932="",I1932="Open: needs a decision",L1932=""),"Open","Closed"))</f>
        <v/>
      </c>
      <c r="O1932" s="46"/>
      <c r="P1932" s="46" t="str">
        <f aca="false">IF(OR(B1932="",I1932&lt;&gt;"Save for a later revision"),"",IF(COUNTIF('Deferred edits'!$K$2:$K$201,A1932)&gt;0,"Yes","● Add to Deferred edits"))</f>
        <v/>
      </c>
    </row>
    <row r="1933" customFormat="false" ht="15" hidden="false" customHeight="false" outlineLevel="0" collapsed="false">
      <c r="A1933" s="46" t="s">
        <v>2228</v>
      </c>
      <c r="B1933" s="46"/>
      <c r="C1933" s="46"/>
      <c r="D1933" s="46"/>
      <c r="E1933" s="46"/>
      <c r="F1933" s="46"/>
      <c r="G1933" s="46"/>
      <c r="H1933" s="46"/>
      <c r="I1933" s="46"/>
      <c r="J1933" s="46"/>
      <c r="K1933" s="46"/>
      <c r="L1933" s="46"/>
      <c r="M1933" s="46" t="str">
        <f aca="false">IF(OR(B1933="",I1933=""),"",IFERROR(INDEX('Comment flow'!$C$40:$C$46,MATCH(I1933,'Comment flow'!$A$40:$A$46,0)),""))</f>
        <v/>
      </c>
      <c r="N1933" s="46" t="str">
        <f aca="false">IF(B1933="","",IF(OR(I1933="",I1933="Open: needs a decision",L1933=""),"Open","Closed"))</f>
        <v/>
      </c>
      <c r="O1933" s="46"/>
      <c r="P1933" s="46" t="str">
        <f aca="false">IF(OR(B1933="",I1933&lt;&gt;"Save for a later revision"),"",IF(COUNTIF('Deferred edits'!$K$2:$K$201,A1933)&gt;0,"Yes","● Add to Deferred edits"))</f>
        <v/>
      </c>
    </row>
    <row r="1934" customFormat="false" ht="15" hidden="false" customHeight="false" outlineLevel="0" collapsed="false">
      <c r="A1934" s="46" t="s">
        <v>2229</v>
      </c>
      <c r="B1934" s="46"/>
      <c r="C1934" s="46"/>
      <c r="D1934" s="46"/>
      <c r="E1934" s="46"/>
      <c r="F1934" s="46"/>
      <c r="G1934" s="46"/>
      <c r="H1934" s="46"/>
      <c r="I1934" s="46"/>
      <c r="J1934" s="46"/>
      <c r="K1934" s="46"/>
      <c r="L1934" s="46"/>
      <c r="M1934" s="46" t="str">
        <f aca="false">IF(OR(B1934="",I1934=""),"",IFERROR(INDEX('Comment flow'!$C$40:$C$46,MATCH(I1934,'Comment flow'!$A$40:$A$46,0)),""))</f>
        <v/>
      </c>
      <c r="N1934" s="46" t="str">
        <f aca="false">IF(B1934="","",IF(OR(I1934="",I1934="Open: needs a decision",L1934=""),"Open","Closed"))</f>
        <v/>
      </c>
      <c r="O1934" s="46"/>
      <c r="P1934" s="46" t="str">
        <f aca="false">IF(OR(B1934="",I1934&lt;&gt;"Save for a later revision"),"",IF(COUNTIF('Deferred edits'!$K$2:$K$201,A1934)&gt;0,"Yes","● Add to Deferred edits"))</f>
        <v/>
      </c>
    </row>
    <row r="1935" customFormat="false" ht="15" hidden="false" customHeight="false" outlineLevel="0" collapsed="false">
      <c r="A1935" s="46" t="s">
        <v>2230</v>
      </c>
      <c r="B1935" s="46"/>
      <c r="C1935" s="46"/>
      <c r="D1935" s="46"/>
      <c r="E1935" s="46"/>
      <c r="F1935" s="46"/>
      <c r="G1935" s="46"/>
      <c r="H1935" s="46"/>
      <c r="I1935" s="46"/>
      <c r="J1935" s="46"/>
      <c r="K1935" s="46"/>
      <c r="L1935" s="46"/>
      <c r="M1935" s="46" t="str">
        <f aca="false">IF(OR(B1935="",I1935=""),"",IFERROR(INDEX('Comment flow'!$C$40:$C$46,MATCH(I1935,'Comment flow'!$A$40:$A$46,0)),""))</f>
        <v/>
      </c>
      <c r="N1935" s="46" t="str">
        <f aca="false">IF(B1935="","",IF(OR(I1935="",I1935="Open: needs a decision",L1935=""),"Open","Closed"))</f>
        <v/>
      </c>
      <c r="O1935" s="46"/>
      <c r="P1935" s="46" t="str">
        <f aca="false">IF(OR(B1935="",I1935&lt;&gt;"Save for a later revision"),"",IF(COUNTIF('Deferred edits'!$K$2:$K$201,A1935)&gt;0,"Yes","● Add to Deferred edits"))</f>
        <v/>
      </c>
    </row>
    <row r="1936" customFormat="false" ht="15" hidden="false" customHeight="false" outlineLevel="0" collapsed="false">
      <c r="A1936" s="46" t="s">
        <v>2231</v>
      </c>
      <c r="B1936" s="46"/>
      <c r="C1936" s="46"/>
      <c r="D1936" s="46"/>
      <c r="E1936" s="46"/>
      <c r="F1936" s="46"/>
      <c r="G1936" s="46"/>
      <c r="H1936" s="46"/>
      <c r="I1936" s="46"/>
      <c r="J1936" s="46"/>
      <c r="K1936" s="46"/>
      <c r="L1936" s="46"/>
      <c r="M1936" s="46" t="str">
        <f aca="false">IF(OR(B1936="",I1936=""),"",IFERROR(INDEX('Comment flow'!$C$40:$C$46,MATCH(I1936,'Comment flow'!$A$40:$A$46,0)),""))</f>
        <v/>
      </c>
      <c r="N1936" s="46" t="str">
        <f aca="false">IF(B1936="","",IF(OR(I1936="",I1936="Open: needs a decision",L1936=""),"Open","Closed"))</f>
        <v/>
      </c>
      <c r="O1936" s="46"/>
      <c r="P1936" s="46" t="str">
        <f aca="false">IF(OR(B1936="",I1936&lt;&gt;"Save for a later revision"),"",IF(COUNTIF('Deferred edits'!$K$2:$K$201,A1936)&gt;0,"Yes","● Add to Deferred edits"))</f>
        <v/>
      </c>
    </row>
    <row r="1937" customFormat="false" ht="15" hidden="false" customHeight="false" outlineLevel="0" collapsed="false">
      <c r="A1937" s="46" t="s">
        <v>2232</v>
      </c>
      <c r="B1937" s="46"/>
      <c r="C1937" s="46"/>
      <c r="D1937" s="46"/>
      <c r="E1937" s="46"/>
      <c r="F1937" s="46"/>
      <c r="G1937" s="46"/>
      <c r="H1937" s="46"/>
      <c r="I1937" s="46"/>
      <c r="J1937" s="46"/>
      <c r="K1937" s="46"/>
      <c r="L1937" s="46"/>
      <c r="M1937" s="46" t="str">
        <f aca="false">IF(OR(B1937="",I1937=""),"",IFERROR(INDEX('Comment flow'!$C$40:$C$46,MATCH(I1937,'Comment flow'!$A$40:$A$46,0)),""))</f>
        <v/>
      </c>
      <c r="N1937" s="46" t="str">
        <f aca="false">IF(B1937="","",IF(OR(I1937="",I1937="Open: needs a decision",L1937=""),"Open","Closed"))</f>
        <v/>
      </c>
      <c r="O1937" s="46"/>
      <c r="P1937" s="46" t="str">
        <f aca="false">IF(OR(B1937="",I1937&lt;&gt;"Save for a later revision"),"",IF(COUNTIF('Deferred edits'!$K$2:$K$201,A1937)&gt;0,"Yes","● Add to Deferred edits"))</f>
        <v/>
      </c>
    </row>
    <row r="1938" customFormat="false" ht="15" hidden="false" customHeight="false" outlineLevel="0" collapsed="false">
      <c r="A1938" s="46" t="s">
        <v>2233</v>
      </c>
      <c r="B1938" s="46"/>
      <c r="C1938" s="46"/>
      <c r="D1938" s="46"/>
      <c r="E1938" s="46"/>
      <c r="F1938" s="46"/>
      <c r="G1938" s="46"/>
      <c r="H1938" s="46"/>
      <c r="I1938" s="46"/>
      <c r="J1938" s="46"/>
      <c r="K1938" s="46"/>
      <c r="L1938" s="46"/>
      <c r="M1938" s="46" t="str">
        <f aca="false">IF(OR(B1938="",I1938=""),"",IFERROR(INDEX('Comment flow'!$C$40:$C$46,MATCH(I1938,'Comment flow'!$A$40:$A$46,0)),""))</f>
        <v/>
      </c>
      <c r="N1938" s="46" t="str">
        <f aca="false">IF(B1938="","",IF(OR(I1938="",I1938="Open: needs a decision",L1938=""),"Open","Closed"))</f>
        <v/>
      </c>
      <c r="O1938" s="46"/>
      <c r="P1938" s="46" t="str">
        <f aca="false">IF(OR(B1938="",I1938&lt;&gt;"Save for a later revision"),"",IF(COUNTIF('Deferred edits'!$K$2:$K$201,A1938)&gt;0,"Yes","● Add to Deferred edits"))</f>
        <v/>
      </c>
    </row>
    <row r="1939" customFormat="false" ht="15" hidden="false" customHeight="false" outlineLevel="0" collapsed="false">
      <c r="A1939" s="46" t="s">
        <v>2234</v>
      </c>
      <c r="B1939" s="46"/>
      <c r="C1939" s="46"/>
      <c r="D1939" s="46"/>
      <c r="E1939" s="46"/>
      <c r="F1939" s="46"/>
      <c r="G1939" s="46"/>
      <c r="H1939" s="46"/>
      <c r="I1939" s="46"/>
      <c r="J1939" s="46"/>
      <c r="K1939" s="46"/>
      <c r="L1939" s="46"/>
      <c r="M1939" s="46" t="str">
        <f aca="false">IF(OR(B1939="",I1939=""),"",IFERROR(INDEX('Comment flow'!$C$40:$C$46,MATCH(I1939,'Comment flow'!$A$40:$A$46,0)),""))</f>
        <v/>
      </c>
      <c r="N1939" s="46" t="str">
        <f aca="false">IF(B1939="","",IF(OR(I1939="",I1939="Open: needs a decision",L1939=""),"Open","Closed"))</f>
        <v/>
      </c>
      <c r="O1939" s="46"/>
      <c r="P1939" s="46" t="str">
        <f aca="false">IF(OR(B1939="",I1939&lt;&gt;"Save for a later revision"),"",IF(COUNTIF('Deferred edits'!$K$2:$K$201,A1939)&gt;0,"Yes","● Add to Deferred edits"))</f>
        <v/>
      </c>
    </row>
    <row r="1940" customFormat="false" ht="15" hidden="false" customHeight="false" outlineLevel="0" collapsed="false">
      <c r="A1940" s="46" t="s">
        <v>2235</v>
      </c>
      <c r="B1940" s="46"/>
      <c r="C1940" s="46"/>
      <c r="D1940" s="46"/>
      <c r="E1940" s="46"/>
      <c r="F1940" s="46"/>
      <c r="G1940" s="46"/>
      <c r="H1940" s="46"/>
      <c r="I1940" s="46"/>
      <c r="J1940" s="46"/>
      <c r="K1940" s="46"/>
      <c r="L1940" s="46"/>
      <c r="M1940" s="46" t="str">
        <f aca="false">IF(OR(B1940="",I1940=""),"",IFERROR(INDEX('Comment flow'!$C$40:$C$46,MATCH(I1940,'Comment flow'!$A$40:$A$46,0)),""))</f>
        <v/>
      </c>
      <c r="N1940" s="46" t="str">
        <f aca="false">IF(B1940="","",IF(OR(I1940="",I1940="Open: needs a decision",L1940=""),"Open","Closed"))</f>
        <v/>
      </c>
      <c r="O1940" s="46"/>
      <c r="P1940" s="46" t="str">
        <f aca="false">IF(OR(B1940="",I1940&lt;&gt;"Save for a later revision"),"",IF(COUNTIF('Deferred edits'!$K$2:$K$201,A1940)&gt;0,"Yes","● Add to Deferred edits"))</f>
        <v/>
      </c>
    </row>
    <row r="1941" customFormat="false" ht="15" hidden="false" customHeight="false" outlineLevel="0" collapsed="false">
      <c r="A1941" s="46" t="s">
        <v>2236</v>
      </c>
      <c r="B1941" s="46"/>
      <c r="C1941" s="46"/>
      <c r="D1941" s="46"/>
      <c r="E1941" s="46"/>
      <c r="F1941" s="46"/>
      <c r="G1941" s="46"/>
      <c r="H1941" s="46"/>
      <c r="I1941" s="46"/>
      <c r="J1941" s="46"/>
      <c r="K1941" s="46"/>
      <c r="L1941" s="46"/>
      <c r="M1941" s="46" t="str">
        <f aca="false">IF(OR(B1941="",I1941=""),"",IFERROR(INDEX('Comment flow'!$C$40:$C$46,MATCH(I1941,'Comment flow'!$A$40:$A$46,0)),""))</f>
        <v/>
      </c>
      <c r="N1941" s="46" t="str">
        <f aca="false">IF(B1941="","",IF(OR(I1941="",I1941="Open: needs a decision",L1941=""),"Open","Closed"))</f>
        <v/>
      </c>
      <c r="O1941" s="46"/>
      <c r="P1941" s="46" t="str">
        <f aca="false">IF(OR(B1941="",I1941&lt;&gt;"Save for a later revision"),"",IF(COUNTIF('Deferred edits'!$K$2:$K$201,A1941)&gt;0,"Yes","● Add to Deferred edits"))</f>
        <v/>
      </c>
    </row>
    <row r="1942" customFormat="false" ht="15" hidden="false" customHeight="false" outlineLevel="0" collapsed="false">
      <c r="A1942" s="46" t="s">
        <v>2237</v>
      </c>
      <c r="B1942" s="46"/>
      <c r="C1942" s="46"/>
      <c r="D1942" s="46"/>
      <c r="E1942" s="46"/>
      <c r="F1942" s="46"/>
      <c r="G1942" s="46"/>
      <c r="H1942" s="46"/>
      <c r="I1942" s="46"/>
      <c r="J1942" s="46"/>
      <c r="K1942" s="46"/>
      <c r="L1942" s="46"/>
      <c r="M1942" s="46" t="str">
        <f aca="false">IF(OR(B1942="",I1942=""),"",IFERROR(INDEX('Comment flow'!$C$40:$C$46,MATCH(I1942,'Comment flow'!$A$40:$A$46,0)),""))</f>
        <v/>
      </c>
      <c r="N1942" s="46" t="str">
        <f aca="false">IF(B1942="","",IF(OR(I1942="",I1942="Open: needs a decision",L1942=""),"Open","Closed"))</f>
        <v/>
      </c>
      <c r="O1942" s="46"/>
      <c r="P1942" s="46" t="str">
        <f aca="false">IF(OR(B1942="",I1942&lt;&gt;"Save for a later revision"),"",IF(COUNTIF('Deferred edits'!$K$2:$K$201,A1942)&gt;0,"Yes","● Add to Deferred edits"))</f>
        <v/>
      </c>
    </row>
    <row r="1943" customFormat="false" ht="15" hidden="false" customHeight="false" outlineLevel="0" collapsed="false">
      <c r="A1943" s="46" t="s">
        <v>2238</v>
      </c>
      <c r="B1943" s="46"/>
      <c r="C1943" s="46"/>
      <c r="D1943" s="46"/>
      <c r="E1943" s="46"/>
      <c r="F1943" s="46"/>
      <c r="G1943" s="46"/>
      <c r="H1943" s="46"/>
      <c r="I1943" s="46"/>
      <c r="J1943" s="46"/>
      <c r="K1943" s="46"/>
      <c r="L1943" s="46"/>
      <c r="M1943" s="46" t="str">
        <f aca="false">IF(OR(B1943="",I1943=""),"",IFERROR(INDEX('Comment flow'!$C$40:$C$46,MATCH(I1943,'Comment flow'!$A$40:$A$46,0)),""))</f>
        <v/>
      </c>
      <c r="N1943" s="46" t="str">
        <f aca="false">IF(B1943="","",IF(OR(I1943="",I1943="Open: needs a decision",L1943=""),"Open","Closed"))</f>
        <v/>
      </c>
      <c r="O1943" s="46"/>
      <c r="P1943" s="46" t="str">
        <f aca="false">IF(OR(B1943="",I1943&lt;&gt;"Save for a later revision"),"",IF(COUNTIF('Deferred edits'!$K$2:$K$201,A1943)&gt;0,"Yes","● Add to Deferred edits"))</f>
        <v/>
      </c>
    </row>
    <row r="1944" customFormat="false" ht="15" hidden="false" customHeight="false" outlineLevel="0" collapsed="false">
      <c r="A1944" s="46" t="s">
        <v>2239</v>
      </c>
      <c r="B1944" s="46"/>
      <c r="C1944" s="46"/>
      <c r="D1944" s="46"/>
      <c r="E1944" s="46"/>
      <c r="F1944" s="46"/>
      <c r="G1944" s="46"/>
      <c r="H1944" s="46"/>
      <c r="I1944" s="46"/>
      <c r="J1944" s="46"/>
      <c r="K1944" s="46"/>
      <c r="L1944" s="46"/>
      <c r="M1944" s="46" t="str">
        <f aca="false">IF(OR(B1944="",I1944=""),"",IFERROR(INDEX('Comment flow'!$C$40:$C$46,MATCH(I1944,'Comment flow'!$A$40:$A$46,0)),""))</f>
        <v/>
      </c>
      <c r="N1944" s="46" t="str">
        <f aca="false">IF(B1944="","",IF(OR(I1944="",I1944="Open: needs a decision",L1944=""),"Open","Closed"))</f>
        <v/>
      </c>
      <c r="O1944" s="46"/>
      <c r="P1944" s="46" t="str">
        <f aca="false">IF(OR(B1944="",I1944&lt;&gt;"Save for a later revision"),"",IF(COUNTIF('Deferred edits'!$K$2:$K$201,A1944)&gt;0,"Yes","● Add to Deferred edits"))</f>
        <v/>
      </c>
    </row>
    <row r="1945" customFormat="false" ht="15" hidden="false" customHeight="false" outlineLevel="0" collapsed="false">
      <c r="A1945" s="46" t="s">
        <v>2240</v>
      </c>
      <c r="B1945" s="46"/>
      <c r="C1945" s="46"/>
      <c r="D1945" s="46"/>
      <c r="E1945" s="46"/>
      <c r="F1945" s="46"/>
      <c r="G1945" s="46"/>
      <c r="H1945" s="46"/>
      <c r="I1945" s="46"/>
      <c r="J1945" s="46"/>
      <c r="K1945" s="46"/>
      <c r="L1945" s="46"/>
      <c r="M1945" s="46" t="str">
        <f aca="false">IF(OR(B1945="",I1945=""),"",IFERROR(INDEX('Comment flow'!$C$40:$C$46,MATCH(I1945,'Comment flow'!$A$40:$A$46,0)),""))</f>
        <v/>
      </c>
      <c r="N1945" s="46" t="str">
        <f aca="false">IF(B1945="","",IF(OR(I1945="",I1945="Open: needs a decision",L1945=""),"Open","Closed"))</f>
        <v/>
      </c>
      <c r="O1945" s="46"/>
      <c r="P1945" s="46" t="str">
        <f aca="false">IF(OR(B1945="",I1945&lt;&gt;"Save for a later revision"),"",IF(COUNTIF('Deferred edits'!$K$2:$K$201,A1945)&gt;0,"Yes","● Add to Deferred edits"))</f>
        <v/>
      </c>
    </row>
    <row r="1946" customFormat="false" ht="15" hidden="false" customHeight="false" outlineLevel="0" collapsed="false">
      <c r="A1946" s="46" t="s">
        <v>2241</v>
      </c>
      <c r="B1946" s="46"/>
      <c r="C1946" s="46"/>
      <c r="D1946" s="46"/>
      <c r="E1946" s="46"/>
      <c r="F1946" s="46"/>
      <c r="G1946" s="46"/>
      <c r="H1946" s="46"/>
      <c r="I1946" s="46"/>
      <c r="J1946" s="46"/>
      <c r="K1946" s="46"/>
      <c r="L1946" s="46"/>
      <c r="M1946" s="46" t="str">
        <f aca="false">IF(OR(B1946="",I1946=""),"",IFERROR(INDEX('Comment flow'!$C$40:$C$46,MATCH(I1946,'Comment flow'!$A$40:$A$46,0)),""))</f>
        <v/>
      </c>
      <c r="N1946" s="46" t="str">
        <f aca="false">IF(B1946="","",IF(OR(I1946="",I1946="Open: needs a decision",L1946=""),"Open","Closed"))</f>
        <v/>
      </c>
      <c r="O1946" s="46"/>
      <c r="P1946" s="46" t="str">
        <f aca="false">IF(OR(B1946="",I1946&lt;&gt;"Save for a later revision"),"",IF(COUNTIF('Deferred edits'!$K$2:$K$201,A1946)&gt;0,"Yes","● Add to Deferred edits"))</f>
        <v/>
      </c>
    </row>
    <row r="1947" customFormat="false" ht="15" hidden="false" customHeight="false" outlineLevel="0" collapsed="false">
      <c r="A1947" s="46" t="s">
        <v>2242</v>
      </c>
      <c r="B1947" s="46"/>
      <c r="C1947" s="46"/>
      <c r="D1947" s="46"/>
      <c r="E1947" s="46"/>
      <c r="F1947" s="46"/>
      <c r="G1947" s="46"/>
      <c r="H1947" s="46"/>
      <c r="I1947" s="46"/>
      <c r="J1947" s="46"/>
      <c r="K1947" s="46"/>
      <c r="L1947" s="46"/>
      <c r="M1947" s="46" t="str">
        <f aca="false">IF(OR(B1947="",I1947=""),"",IFERROR(INDEX('Comment flow'!$C$40:$C$46,MATCH(I1947,'Comment flow'!$A$40:$A$46,0)),""))</f>
        <v/>
      </c>
      <c r="N1947" s="46" t="str">
        <f aca="false">IF(B1947="","",IF(OR(I1947="",I1947="Open: needs a decision",L1947=""),"Open","Closed"))</f>
        <v/>
      </c>
      <c r="O1947" s="46"/>
      <c r="P1947" s="46" t="str">
        <f aca="false">IF(OR(B1947="",I1947&lt;&gt;"Save for a later revision"),"",IF(COUNTIF('Deferred edits'!$K$2:$K$201,A1947)&gt;0,"Yes","● Add to Deferred edits"))</f>
        <v/>
      </c>
    </row>
    <row r="1948" customFormat="false" ht="15" hidden="false" customHeight="false" outlineLevel="0" collapsed="false">
      <c r="A1948" s="46" t="s">
        <v>2243</v>
      </c>
      <c r="B1948" s="46"/>
      <c r="C1948" s="46"/>
      <c r="D1948" s="46"/>
      <c r="E1948" s="46"/>
      <c r="F1948" s="46"/>
      <c r="G1948" s="46"/>
      <c r="H1948" s="46"/>
      <c r="I1948" s="46"/>
      <c r="J1948" s="46"/>
      <c r="K1948" s="46"/>
      <c r="L1948" s="46"/>
      <c r="M1948" s="46" t="str">
        <f aca="false">IF(OR(B1948="",I1948=""),"",IFERROR(INDEX('Comment flow'!$C$40:$C$46,MATCH(I1948,'Comment flow'!$A$40:$A$46,0)),""))</f>
        <v/>
      </c>
      <c r="N1948" s="46" t="str">
        <f aca="false">IF(B1948="","",IF(OR(I1948="",I1948="Open: needs a decision",L1948=""),"Open","Closed"))</f>
        <v/>
      </c>
      <c r="O1948" s="46"/>
      <c r="P1948" s="46" t="str">
        <f aca="false">IF(OR(B1948="",I1948&lt;&gt;"Save for a later revision"),"",IF(COUNTIF('Deferred edits'!$K$2:$K$201,A1948)&gt;0,"Yes","● Add to Deferred edits"))</f>
        <v/>
      </c>
    </row>
    <row r="1949" customFormat="false" ht="15" hidden="false" customHeight="false" outlineLevel="0" collapsed="false">
      <c r="A1949" s="46" t="s">
        <v>2244</v>
      </c>
      <c r="B1949" s="46"/>
      <c r="C1949" s="46"/>
      <c r="D1949" s="46"/>
      <c r="E1949" s="46"/>
      <c r="F1949" s="46"/>
      <c r="G1949" s="46"/>
      <c r="H1949" s="46"/>
      <c r="I1949" s="46"/>
      <c r="J1949" s="46"/>
      <c r="K1949" s="46"/>
      <c r="L1949" s="46"/>
      <c r="M1949" s="46" t="str">
        <f aca="false">IF(OR(B1949="",I1949=""),"",IFERROR(INDEX('Comment flow'!$C$40:$C$46,MATCH(I1949,'Comment flow'!$A$40:$A$46,0)),""))</f>
        <v/>
      </c>
      <c r="N1949" s="46" t="str">
        <f aca="false">IF(B1949="","",IF(OR(I1949="",I1949="Open: needs a decision",L1949=""),"Open","Closed"))</f>
        <v/>
      </c>
      <c r="O1949" s="46"/>
      <c r="P1949" s="46" t="str">
        <f aca="false">IF(OR(B1949="",I1949&lt;&gt;"Save for a later revision"),"",IF(COUNTIF('Deferred edits'!$K$2:$K$201,A1949)&gt;0,"Yes","● Add to Deferred edits"))</f>
        <v/>
      </c>
    </row>
    <row r="1950" customFormat="false" ht="15" hidden="false" customHeight="false" outlineLevel="0" collapsed="false">
      <c r="A1950" s="46" t="s">
        <v>2245</v>
      </c>
      <c r="B1950" s="46"/>
      <c r="C1950" s="46"/>
      <c r="D1950" s="46"/>
      <c r="E1950" s="46"/>
      <c r="F1950" s="46"/>
      <c r="G1950" s="46"/>
      <c r="H1950" s="46"/>
      <c r="I1950" s="46"/>
      <c r="J1950" s="46"/>
      <c r="K1950" s="46"/>
      <c r="L1950" s="46"/>
      <c r="M1950" s="46" t="str">
        <f aca="false">IF(OR(B1950="",I1950=""),"",IFERROR(INDEX('Comment flow'!$C$40:$C$46,MATCH(I1950,'Comment flow'!$A$40:$A$46,0)),""))</f>
        <v/>
      </c>
      <c r="N1950" s="46" t="str">
        <f aca="false">IF(B1950="","",IF(OR(I1950="",I1950="Open: needs a decision",L1950=""),"Open","Closed"))</f>
        <v/>
      </c>
      <c r="O1950" s="46"/>
      <c r="P1950" s="46" t="str">
        <f aca="false">IF(OR(B1950="",I1950&lt;&gt;"Save for a later revision"),"",IF(COUNTIF('Deferred edits'!$K$2:$K$201,A1950)&gt;0,"Yes","● Add to Deferred edits"))</f>
        <v/>
      </c>
    </row>
    <row r="1951" customFormat="false" ht="15" hidden="false" customHeight="false" outlineLevel="0" collapsed="false">
      <c r="A1951" s="46" t="s">
        <v>2246</v>
      </c>
      <c r="B1951" s="46"/>
      <c r="C1951" s="46"/>
      <c r="D1951" s="46"/>
      <c r="E1951" s="46"/>
      <c r="F1951" s="46"/>
      <c r="G1951" s="46"/>
      <c r="H1951" s="46"/>
      <c r="I1951" s="46"/>
      <c r="J1951" s="46"/>
      <c r="K1951" s="46"/>
      <c r="L1951" s="46"/>
      <c r="M1951" s="46" t="str">
        <f aca="false">IF(OR(B1951="",I1951=""),"",IFERROR(INDEX('Comment flow'!$C$40:$C$46,MATCH(I1951,'Comment flow'!$A$40:$A$46,0)),""))</f>
        <v/>
      </c>
      <c r="N1951" s="46" t="str">
        <f aca="false">IF(B1951="","",IF(OR(I1951="",I1951="Open: needs a decision",L1951=""),"Open","Closed"))</f>
        <v/>
      </c>
      <c r="O1951" s="46"/>
      <c r="P1951" s="46" t="str">
        <f aca="false">IF(OR(B1951="",I1951&lt;&gt;"Save for a later revision"),"",IF(COUNTIF('Deferred edits'!$K$2:$K$201,A1951)&gt;0,"Yes","● Add to Deferred edits"))</f>
        <v/>
      </c>
    </row>
    <row r="1952" customFormat="false" ht="15" hidden="false" customHeight="false" outlineLevel="0" collapsed="false">
      <c r="A1952" s="46" t="s">
        <v>2247</v>
      </c>
      <c r="B1952" s="46"/>
      <c r="C1952" s="46"/>
      <c r="D1952" s="46"/>
      <c r="E1952" s="46"/>
      <c r="F1952" s="46"/>
      <c r="G1952" s="46"/>
      <c r="H1952" s="46"/>
      <c r="I1952" s="46"/>
      <c r="J1952" s="46"/>
      <c r="K1952" s="46"/>
      <c r="L1952" s="46"/>
      <c r="M1952" s="46" t="str">
        <f aca="false">IF(OR(B1952="",I1952=""),"",IFERROR(INDEX('Comment flow'!$C$40:$C$46,MATCH(I1952,'Comment flow'!$A$40:$A$46,0)),""))</f>
        <v/>
      </c>
      <c r="N1952" s="46" t="str">
        <f aca="false">IF(B1952="","",IF(OR(I1952="",I1952="Open: needs a decision",L1952=""),"Open","Closed"))</f>
        <v/>
      </c>
      <c r="O1952" s="46"/>
      <c r="P1952" s="46" t="str">
        <f aca="false">IF(OR(B1952="",I1952&lt;&gt;"Save for a later revision"),"",IF(COUNTIF('Deferred edits'!$K$2:$K$201,A1952)&gt;0,"Yes","● Add to Deferred edits"))</f>
        <v/>
      </c>
    </row>
    <row r="1953" customFormat="false" ht="15" hidden="false" customHeight="false" outlineLevel="0" collapsed="false">
      <c r="A1953" s="46" t="s">
        <v>2248</v>
      </c>
      <c r="B1953" s="46"/>
      <c r="C1953" s="46"/>
      <c r="D1953" s="46"/>
      <c r="E1953" s="46"/>
      <c r="F1953" s="46"/>
      <c r="G1953" s="46"/>
      <c r="H1953" s="46"/>
      <c r="I1953" s="46"/>
      <c r="J1953" s="46"/>
      <c r="K1953" s="46"/>
      <c r="L1953" s="46"/>
      <c r="M1953" s="46" t="str">
        <f aca="false">IF(OR(B1953="",I1953=""),"",IFERROR(INDEX('Comment flow'!$C$40:$C$46,MATCH(I1953,'Comment flow'!$A$40:$A$46,0)),""))</f>
        <v/>
      </c>
      <c r="N1953" s="46" t="str">
        <f aca="false">IF(B1953="","",IF(OR(I1953="",I1953="Open: needs a decision",L1953=""),"Open","Closed"))</f>
        <v/>
      </c>
      <c r="O1953" s="46"/>
      <c r="P1953" s="46" t="str">
        <f aca="false">IF(OR(B1953="",I1953&lt;&gt;"Save for a later revision"),"",IF(COUNTIF('Deferred edits'!$K$2:$K$201,A1953)&gt;0,"Yes","● Add to Deferred edits"))</f>
        <v/>
      </c>
    </row>
    <row r="1954" customFormat="false" ht="15" hidden="false" customHeight="false" outlineLevel="0" collapsed="false">
      <c r="A1954" s="46" t="s">
        <v>2249</v>
      </c>
      <c r="B1954" s="46"/>
      <c r="C1954" s="46"/>
      <c r="D1954" s="46"/>
      <c r="E1954" s="46"/>
      <c r="F1954" s="46"/>
      <c r="G1954" s="46"/>
      <c r="H1954" s="46"/>
      <c r="I1954" s="46"/>
      <c r="J1954" s="46"/>
      <c r="K1954" s="46"/>
      <c r="L1954" s="46"/>
      <c r="M1954" s="46" t="str">
        <f aca="false">IF(OR(B1954="",I1954=""),"",IFERROR(INDEX('Comment flow'!$C$40:$C$46,MATCH(I1954,'Comment flow'!$A$40:$A$46,0)),""))</f>
        <v/>
      </c>
      <c r="N1954" s="46" t="str">
        <f aca="false">IF(B1954="","",IF(OR(I1954="",I1954="Open: needs a decision",L1954=""),"Open","Closed"))</f>
        <v/>
      </c>
      <c r="O1954" s="46"/>
      <c r="P1954" s="46" t="str">
        <f aca="false">IF(OR(B1954="",I1954&lt;&gt;"Save for a later revision"),"",IF(COUNTIF('Deferred edits'!$K$2:$K$201,A1954)&gt;0,"Yes","● Add to Deferred edits"))</f>
        <v/>
      </c>
    </row>
    <row r="1955" customFormat="false" ht="15" hidden="false" customHeight="false" outlineLevel="0" collapsed="false">
      <c r="A1955" s="46" t="s">
        <v>2250</v>
      </c>
      <c r="B1955" s="46"/>
      <c r="C1955" s="46"/>
      <c r="D1955" s="46"/>
      <c r="E1955" s="46"/>
      <c r="F1955" s="46"/>
      <c r="G1955" s="46"/>
      <c r="H1955" s="46"/>
      <c r="I1955" s="46"/>
      <c r="J1955" s="46"/>
      <c r="K1955" s="46"/>
      <c r="L1955" s="46"/>
      <c r="M1955" s="46" t="str">
        <f aca="false">IF(OR(B1955="",I1955=""),"",IFERROR(INDEX('Comment flow'!$C$40:$C$46,MATCH(I1955,'Comment flow'!$A$40:$A$46,0)),""))</f>
        <v/>
      </c>
      <c r="N1955" s="46" t="str">
        <f aca="false">IF(B1955="","",IF(OR(I1955="",I1955="Open: needs a decision",L1955=""),"Open","Closed"))</f>
        <v/>
      </c>
      <c r="O1955" s="46"/>
      <c r="P1955" s="46" t="str">
        <f aca="false">IF(OR(B1955="",I1955&lt;&gt;"Save for a later revision"),"",IF(COUNTIF('Deferred edits'!$K$2:$K$201,A1955)&gt;0,"Yes","● Add to Deferred edits"))</f>
        <v/>
      </c>
    </row>
    <row r="1956" customFormat="false" ht="15" hidden="false" customHeight="false" outlineLevel="0" collapsed="false">
      <c r="A1956" s="46" t="s">
        <v>2251</v>
      </c>
      <c r="B1956" s="46"/>
      <c r="C1956" s="46"/>
      <c r="D1956" s="46"/>
      <c r="E1956" s="46"/>
      <c r="F1956" s="46"/>
      <c r="G1956" s="46"/>
      <c r="H1956" s="46"/>
      <c r="I1956" s="46"/>
      <c r="J1956" s="46"/>
      <c r="K1956" s="46"/>
      <c r="L1956" s="46"/>
      <c r="M1956" s="46" t="str">
        <f aca="false">IF(OR(B1956="",I1956=""),"",IFERROR(INDEX('Comment flow'!$C$40:$C$46,MATCH(I1956,'Comment flow'!$A$40:$A$46,0)),""))</f>
        <v/>
      </c>
      <c r="N1956" s="46" t="str">
        <f aca="false">IF(B1956="","",IF(OR(I1956="",I1956="Open: needs a decision",L1956=""),"Open","Closed"))</f>
        <v/>
      </c>
      <c r="O1956" s="46"/>
      <c r="P1956" s="46" t="str">
        <f aca="false">IF(OR(B1956="",I1956&lt;&gt;"Save for a later revision"),"",IF(COUNTIF('Deferred edits'!$K$2:$K$201,A1956)&gt;0,"Yes","● Add to Deferred edits"))</f>
        <v/>
      </c>
    </row>
    <row r="1957" customFormat="false" ht="15" hidden="false" customHeight="false" outlineLevel="0" collapsed="false">
      <c r="A1957" s="46" t="s">
        <v>2252</v>
      </c>
      <c r="B1957" s="46"/>
      <c r="C1957" s="46"/>
      <c r="D1957" s="46"/>
      <c r="E1957" s="46"/>
      <c r="F1957" s="46"/>
      <c r="G1957" s="46"/>
      <c r="H1957" s="46"/>
      <c r="I1957" s="46"/>
      <c r="J1957" s="46"/>
      <c r="K1957" s="46"/>
      <c r="L1957" s="46"/>
      <c r="M1957" s="46" t="str">
        <f aca="false">IF(OR(B1957="",I1957=""),"",IFERROR(INDEX('Comment flow'!$C$40:$C$46,MATCH(I1957,'Comment flow'!$A$40:$A$46,0)),""))</f>
        <v/>
      </c>
      <c r="N1957" s="46" t="str">
        <f aca="false">IF(B1957="","",IF(OR(I1957="",I1957="Open: needs a decision",L1957=""),"Open","Closed"))</f>
        <v/>
      </c>
      <c r="O1957" s="46"/>
      <c r="P1957" s="46" t="str">
        <f aca="false">IF(OR(B1957="",I1957&lt;&gt;"Save for a later revision"),"",IF(COUNTIF('Deferred edits'!$K$2:$K$201,A1957)&gt;0,"Yes","● Add to Deferred edits"))</f>
        <v/>
      </c>
    </row>
    <row r="1958" customFormat="false" ht="15" hidden="false" customHeight="false" outlineLevel="0" collapsed="false">
      <c r="A1958" s="46" t="s">
        <v>2253</v>
      </c>
      <c r="B1958" s="46"/>
      <c r="C1958" s="46"/>
      <c r="D1958" s="46"/>
      <c r="E1958" s="46"/>
      <c r="F1958" s="46"/>
      <c r="G1958" s="46"/>
      <c r="H1958" s="46"/>
      <c r="I1958" s="46"/>
      <c r="J1958" s="46"/>
      <c r="K1958" s="46"/>
      <c r="L1958" s="46"/>
      <c r="M1958" s="46" t="str">
        <f aca="false">IF(OR(B1958="",I1958=""),"",IFERROR(INDEX('Comment flow'!$C$40:$C$46,MATCH(I1958,'Comment flow'!$A$40:$A$46,0)),""))</f>
        <v/>
      </c>
      <c r="N1958" s="46" t="str">
        <f aca="false">IF(B1958="","",IF(OR(I1958="",I1958="Open: needs a decision",L1958=""),"Open","Closed"))</f>
        <v/>
      </c>
      <c r="O1958" s="46"/>
      <c r="P1958" s="46" t="str">
        <f aca="false">IF(OR(B1958="",I1958&lt;&gt;"Save for a later revision"),"",IF(COUNTIF('Deferred edits'!$K$2:$K$201,A1958)&gt;0,"Yes","● Add to Deferred edits"))</f>
        <v/>
      </c>
    </row>
    <row r="1959" customFormat="false" ht="15" hidden="false" customHeight="false" outlineLevel="0" collapsed="false">
      <c r="A1959" s="46" t="s">
        <v>2254</v>
      </c>
      <c r="B1959" s="46"/>
      <c r="C1959" s="46"/>
      <c r="D1959" s="46"/>
      <c r="E1959" s="46"/>
      <c r="F1959" s="46"/>
      <c r="G1959" s="46"/>
      <c r="H1959" s="46"/>
      <c r="I1959" s="46"/>
      <c r="J1959" s="46"/>
      <c r="K1959" s="46"/>
      <c r="L1959" s="46"/>
      <c r="M1959" s="46" t="str">
        <f aca="false">IF(OR(B1959="",I1959=""),"",IFERROR(INDEX('Comment flow'!$C$40:$C$46,MATCH(I1959,'Comment flow'!$A$40:$A$46,0)),""))</f>
        <v/>
      </c>
      <c r="N1959" s="46" t="str">
        <f aca="false">IF(B1959="","",IF(OR(I1959="",I1959="Open: needs a decision",L1959=""),"Open","Closed"))</f>
        <v/>
      </c>
      <c r="O1959" s="46"/>
      <c r="P1959" s="46" t="str">
        <f aca="false">IF(OR(B1959="",I1959&lt;&gt;"Save for a later revision"),"",IF(COUNTIF('Deferred edits'!$K$2:$K$201,A1959)&gt;0,"Yes","● Add to Deferred edits"))</f>
        <v/>
      </c>
    </row>
    <row r="1960" customFormat="false" ht="15" hidden="false" customHeight="false" outlineLevel="0" collapsed="false">
      <c r="A1960" s="46" t="s">
        <v>2255</v>
      </c>
      <c r="B1960" s="46"/>
      <c r="C1960" s="46"/>
      <c r="D1960" s="46"/>
      <c r="E1960" s="46"/>
      <c r="F1960" s="46"/>
      <c r="G1960" s="46"/>
      <c r="H1960" s="46"/>
      <c r="I1960" s="46"/>
      <c r="J1960" s="46"/>
      <c r="K1960" s="46"/>
      <c r="L1960" s="46"/>
      <c r="M1960" s="46" t="str">
        <f aca="false">IF(OR(B1960="",I1960=""),"",IFERROR(INDEX('Comment flow'!$C$40:$C$46,MATCH(I1960,'Comment flow'!$A$40:$A$46,0)),""))</f>
        <v/>
      </c>
      <c r="N1960" s="46" t="str">
        <f aca="false">IF(B1960="","",IF(OR(I1960="",I1960="Open: needs a decision",L1960=""),"Open","Closed"))</f>
        <v/>
      </c>
      <c r="O1960" s="46"/>
      <c r="P1960" s="46" t="str">
        <f aca="false">IF(OR(B1960="",I1960&lt;&gt;"Save for a later revision"),"",IF(COUNTIF('Deferred edits'!$K$2:$K$201,A1960)&gt;0,"Yes","● Add to Deferred edits"))</f>
        <v/>
      </c>
    </row>
    <row r="1961" customFormat="false" ht="15" hidden="false" customHeight="false" outlineLevel="0" collapsed="false">
      <c r="A1961" s="46" t="s">
        <v>2256</v>
      </c>
      <c r="B1961" s="46"/>
      <c r="C1961" s="46"/>
      <c r="D1961" s="46"/>
      <c r="E1961" s="46"/>
      <c r="F1961" s="46"/>
      <c r="G1961" s="46"/>
      <c r="H1961" s="46"/>
      <c r="I1961" s="46"/>
      <c r="J1961" s="46"/>
      <c r="K1961" s="46"/>
      <c r="L1961" s="46"/>
      <c r="M1961" s="46" t="str">
        <f aca="false">IF(OR(B1961="",I1961=""),"",IFERROR(INDEX('Comment flow'!$C$40:$C$46,MATCH(I1961,'Comment flow'!$A$40:$A$46,0)),""))</f>
        <v/>
      </c>
      <c r="N1961" s="46" t="str">
        <f aca="false">IF(B1961="","",IF(OR(I1961="",I1961="Open: needs a decision",L1961=""),"Open","Closed"))</f>
        <v/>
      </c>
      <c r="O1961" s="46"/>
      <c r="P1961" s="46" t="str">
        <f aca="false">IF(OR(B1961="",I1961&lt;&gt;"Save for a later revision"),"",IF(COUNTIF('Deferred edits'!$K$2:$K$201,A1961)&gt;0,"Yes","● Add to Deferred edits"))</f>
        <v/>
      </c>
    </row>
    <row r="1962" customFormat="false" ht="15" hidden="false" customHeight="false" outlineLevel="0" collapsed="false">
      <c r="A1962" s="46" t="s">
        <v>2257</v>
      </c>
      <c r="B1962" s="46"/>
      <c r="C1962" s="46"/>
      <c r="D1962" s="46"/>
      <c r="E1962" s="46"/>
      <c r="F1962" s="46"/>
      <c r="G1962" s="46"/>
      <c r="H1962" s="46"/>
      <c r="I1962" s="46"/>
      <c r="J1962" s="46"/>
      <c r="K1962" s="46"/>
      <c r="L1962" s="46"/>
      <c r="M1962" s="46" t="str">
        <f aca="false">IF(OR(B1962="",I1962=""),"",IFERROR(INDEX('Comment flow'!$C$40:$C$46,MATCH(I1962,'Comment flow'!$A$40:$A$46,0)),""))</f>
        <v/>
      </c>
      <c r="N1962" s="46" t="str">
        <f aca="false">IF(B1962="","",IF(OR(I1962="",I1962="Open: needs a decision",L1962=""),"Open","Closed"))</f>
        <v/>
      </c>
      <c r="O1962" s="46"/>
      <c r="P1962" s="46" t="str">
        <f aca="false">IF(OR(B1962="",I1962&lt;&gt;"Save for a later revision"),"",IF(COUNTIF('Deferred edits'!$K$2:$K$201,A1962)&gt;0,"Yes","● Add to Deferred edits"))</f>
        <v/>
      </c>
    </row>
    <row r="1963" customFormat="false" ht="15" hidden="false" customHeight="false" outlineLevel="0" collapsed="false">
      <c r="A1963" s="46" t="s">
        <v>2258</v>
      </c>
      <c r="B1963" s="46"/>
      <c r="C1963" s="46"/>
      <c r="D1963" s="46"/>
      <c r="E1963" s="46"/>
      <c r="F1963" s="46"/>
      <c r="G1963" s="46"/>
      <c r="H1963" s="46"/>
      <c r="I1963" s="46"/>
      <c r="J1963" s="46"/>
      <c r="K1963" s="46"/>
      <c r="L1963" s="46"/>
      <c r="M1963" s="46" t="str">
        <f aca="false">IF(OR(B1963="",I1963=""),"",IFERROR(INDEX('Comment flow'!$C$40:$C$46,MATCH(I1963,'Comment flow'!$A$40:$A$46,0)),""))</f>
        <v/>
      </c>
      <c r="N1963" s="46" t="str">
        <f aca="false">IF(B1963="","",IF(OR(I1963="",I1963="Open: needs a decision",L1963=""),"Open","Closed"))</f>
        <v/>
      </c>
      <c r="O1963" s="46"/>
      <c r="P1963" s="46" t="str">
        <f aca="false">IF(OR(B1963="",I1963&lt;&gt;"Save for a later revision"),"",IF(COUNTIF('Deferred edits'!$K$2:$K$201,A1963)&gt;0,"Yes","● Add to Deferred edits"))</f>
        <v/>
      </c>
    </row>
    <row r="1964" customFormat="false" ht="15" hidden="false" customHeight="false" outlineLevel="0" collapsed="false">
      <c r="A1964" s="46" t="s">
        <v>2259</v>
      </c>
      <c r="B1964" s="46"/>
      <c r="C1964" s="46"/>
      <c r="D1964" s="46"/>
      <c r="E1964" s="46"/>
      <c r="F1964" s="46"/>
      <c r="G1964" s="46"/>
      <c r="H1964" s="46"/>
      <c r="I1964" s="46"/>
      <c r="J1964" s="46"/>
      <c r="K1964" s="46"/>
      <c r="L1964" s="46"/>
      <c r="M1964" s="46" t="str">
        <f aca="false">IF(OR(B1964="",I1964=""),"",IFERROR(INDEX('Comment flow'!$C$40:$C$46,MATCH(I1964,'Comment flow'!$A$40:$A$46,0)),""))</f>
        <v/>
      </c>
      <c r="N1964" s="46" t="str">
        <f aca="false">IF(B1964="","",IF(OR(I1964="",I1964="Open: needs a decision",L1964=""),"Open","Closed"))</f>
        <v/>
      </c>
      <c r="O1964" s="46"/>
      <c r="P1964" s="46" t="str">
        <f aca="false">IF(OR(B1964="",I1964&lt;&gt;"Save for a later revision"),"",IF(COUNTIF('Deferred edits'!$K$2:$K$201,A1964)&gt;0,"Yes","● Add to Deferred edits"))</f>
        <v/>
      </c>
    </row>
    <row r="1965" customFormat="false" ht="15" hidden="false" customHeight="false" outlineLevel="0" collapsed="false">
      <c r="A1965" s="46" t="s">
        <v>2260</v>
      </c>
      <c r="B1965" s="46"/>
      <c r="C1965" s="46"/>
      <c r="D1965" s="46"/>
      <c r="E1965" s="46"/>
      <c r="F1965" s="46"/>
      <c r="G1965" s="46"/>
      <c r="H1965" s="46"/>
      <c r="I1965" s="46"/>
      <c r="J1965" s="46"/>
      <c r="K1965" s="46"/>
      <c r="L1965" s="46"/>
      <c r="M1965" s="46" t="str">
        <f aca="false">IF(OR(B1965="",I1965=""),"",IFERROR(INDEX('Comment flow'!$C$40:$C$46,MATCH(I1965,'Comment flow'!$A$40:$A$46,0)),""))</f>
        <v/>
      </c>
      <c r="N1965" s="46" t="str">
        <f aca="false">IF(B1965="","",IF(OR(I1965="",I1965="Open: needs a decision",L1965=""),"Open","Closed"))</f>
        <v/>
      </c>
      <c r="O1965" s="46"/>
      <c r="P1965" s="46" t="str">
        <f aca="false">IF(OR(B1965="",I1965&lt;&gt;"Save for a later revision"),"",IF(COUNTIF('Deferred edits'!$K$2:$K$201,A1965)&gt;0,"Yes","● Add to Deferred edits"))</f>
        <v/>
      </c>
    </row>
    <row r="1966" customFormat="false" ht="15" hidden="false" customHeight="false" outlineLevel="0" collapsed="false">
      <c r="A1966" s="46" t="s">
        <v>2261</v>
      </c>
      <c r="B1966" s="46"/>
      <c r="C1966" s="46"/>
      <c r="D1966" s="46"/>
      <c r="E1966" s="46"/>
      <c r="F1966" s="46"/>
      <c r="G1966" s="46"/>
      <c r="H1966" s="46"/>
      <c r="I1966" s="46"/>
      <c r="J1966" s="46"/>
      <c r="K1966" s="46"/>
      <c r="L1966" s="46"/>
      <c r="M1966" s="46" t="str">
        <f aca="false">IF(OR(B1966="",I1966=""),"",IFERROR(INDEX('Comment flow'!$C$40:$C$46,MATCH(I1966,'Comment flow'!$A$40:$A$46,0)),""))</f>
        <v/>
      </c>
      <c r="N1966" s="46" t="str">
        <f aca="false">IF(B1966="","",IF(OR(I1966="",I1966="Open: needs a decision",L1966=""),"Open","Closed"))</f>
        <v/>
      </c>
      <c r="O1966" s="46"/>
      <c r="P1966" s="46" t="str">
        <f aca="false">IF(OR(B1966="",I1966&lt;&gt;"Save for a later revision"),"",IF(COUNTIF('Deferred edits'!$K$2:$K$201,A1966)&gt;0,"Yes","● Add to Deferred edits"))</f>
        <v/>
      </c>
    </row>
    <row r="1967" customFormat="false" ht="15" hidden="false" customHeight="false" outlineLevel="0" collapsed="false">
      <c r="A1967" s="46" t="s">
        <v>2262</v>
      </c>
      <c r="B1967" s="46"/>
      <c r="C1967" s="46"/>
      <c r="D1967" s="46"/>
      <c r="E1967" s="46"/>
      <c r="F1967" s="46"/>
      <c r="G1967" s="46"/>
      <c r="H1967" s="46"/>
      <c r="I1967" s="46"/>
      <c r="J1967" s="46"/>
      <c r="K1967" s="46"/>
      <c r="L1967" s="46"/>
      <c r="M1967" s="46" t="str">
        <f aca="false">IF(OR(B1967="",I1967=""),"",IFERROR(INDEX('Comment flow'!$C$40:$C$46,MATCH(I1967,'Comment flow'!$A$40:$A$46,0)),""))</f>
        <v/>
      </c>
      <c r="N1967" s="46" t="str">
        <f aca="false">IF(B1967="","",IF(OR(I1967="",I1967="Open: needs a decision",L1967=""),"Open","Closed"))</f>
        <v/>
      </c>
      <c r="O1967" s="46"/>
      <c r="P1967" s="46" t="str">
        <f aca="false">IF(OR(B1967="",I1967&lt;&gt;"Save for a later revision"),"",IF(COUNTIF('Deferred edits'!$K$2:$K$201,A1967)&gt;0,"Yes","● Add to Deferred edits"))</f>
        <v/>
      </c>
    </row>
    <row r="1968" customFormat="false" ht="15" hidden="false" customHeight="false" outlineLevel="0" collapsed="false">
      <c r="A1968" s="46" t="s">
        <v>2263</v>
      </c>
      <c r="B1968" s="46"/>
      <c r="C1968" s="46"/>
      <c r="D1968" s="46"/>
      <c r="E1968" s="46"/>
      <c r="F1968" s="46"/>
      <c r="G1968" s="46"/>
      <c r="H1968" s="46"/>
      <c r="I1968" s="46"/>
      <c r="J1968" s="46"/>
      <c r="K1968" s="46"/>
      <c r="L1968" s="46"/>
      <c r="M1968" s="46" t="str">
        <f aca="false">IF(OR(B1968="",I1968=""),"",IFERROR(INDEX('Comment flow'!$C$40:$C$46,MATCH(I1968,'Comment flow'!$A$40:$A$46,0)),""))</f>
        <v/>
      </c>
      <c r="N1968" s="46" t="str">
        <f aca="false">IF(B1968="","",IF(OR(I1968="",I1968="Open: needs a decision",L1968=""),"Open","Closed"))</f>
        <v/>
      </c>
      <c r="O1968" s="46"/>
      <c r="P1968" s="46" t="str">
        <f aca="false">IF(OR(B1968="",I1968&lt;&gt;"Save for a later revision"),"",IF(COUNTIF('Deferred edits'!$K$2:$K$201,A1968)&gt;0,"Yes","● Add to Deferred edits"))</f>
        <v/>
      </c>
    </row>
    <row r="1969" customFormat="false" ht="15" hidden="false" customHeight="false" outlineLevel="0" collapsed="false">
      <c r="A1969" s="46" t="s">
        <v>2264</v>
      </c>
      <c r="B1969" s="46"/>
      <c r="C1969" s="46"/>
      <c r="D1969" s="46"/>
      <c r="E1969" s="46"/>
      <c r="F1969" s="46"/>
      <c r="G1969" s="46"/>
      <c r="H1969" s="46"/>
      <c r="I1969" s="46"/>
      <c r="J1969" s="46"/>
      <c r="K1969" s="46"/>
      <c r="L1969" s="46"/>
      <c r="M1969" s="46" t="str">
        <f aca="false">IF(OR(B1969="",I1969=""),"",IFERROR(INDEX('Comment flow'!$C$40:$C$46,MATCH(I1969,'Comment flow'!$A$40:$A$46,0)),""))</f>
        <v/>
      </c>
      <c r="N1969" s="46" t="str">
        <f aca="false">IF(B1969="","",IF(OR(I1969="",I1969="Open: needs a decision",L1969=""),"Open","Closed"))</f>
        <v/>
      </c>
      <c r="O1969" s="46"/>
      <c r="P1969" s="46" t="str">
        <f aca="false">IF(OR(B1969="",I1969&lt;&gt;"Save for a later revision"),"",IF(COUNTIF('Deferred edits'!$K$2:$K$201,A1969)&gt;0,"Yes","● Add to Deferred edits"))</f>
        <v/>
      </c>
    </row>
    <row r="1970" customFormat="false" ht="15" hidden="false" customHeight="false" outlineLevel="0" collapsed="false">
      <c r="A1970" s="46" t="s">
        <v>2265</v>
      </c>
      <c r="B1970" s="46"/>
      <c r="C1970" s="46"/>
      <c r="D1970" s="46"/>
      <c r="E1970" s="46"/>
      <c r="F1970" s="46"/>
      <c r="G1970" s="46"/>
      <c r="H1970" s="46"/>
      <c r="I1970" s="46"/>
      <c r="J1970" s="46"/>
      <c r="K1970" s="46"/>
      <c r="L1970" s="46"/>
      <c r="M1970" s="46" t="str">
        <f aca="false">IF(OR(B1970="",I1970=""),"",IFERROR(INDEX('Comment flow'!$C$40:$C$46,MATCH(I1970,'Comment flow'!$A$40:$A$46,0)),""))</f>
        <v/>
      </c>
      <c r="N1970" s="46" t="str">
        <f aca="false">IF(B1970="","",IF(OR(I1970="",I1970="Open: needs a decision",L1970=""),"Open","Closed"))</f>
        <v/>
      </c>
      <c r="O1970" s="46"/>
      <c r="P1970" s="46" t="str">
        <f aca="false">IF(OR(B1970="",I1970&lt;&gt;"Save for a later revision"),"",IF(COUNTIF('Deferred edits'!$K$2:$K$201,A1970)&gt;0,"Yes","● Add to Deferred edits"))</f>
        <v/>
      </c>
    </row>
    <row r="1971" customFormat="false" ht="15" hidden="false" customHeight="false" outlineLevel="0" collapsed="false">
      <c r="A1971" s="46" t="s">
        <v>2266</v>
      </c>
      <c r="B1971" s="46"/>
      <c r="C1971" s="46"/>
      <c r="D1971" s="46"/>
      <c r="E1971" s="46"/>
      <c r="F1971" s="46"/>
      <c r="G1971" s="46"/>
      <c r="H1971" s="46"/>
      <c r="I1971" s="46"/>
      <c r="J1971" s="46"/>
      <c r="K1971" s="46"/>
      <c r="L1971" s="46"/>
      <c r="M1971" s="46" t="str">
        <f aca="false">IF(OR(B1971="",I1971=""),"",IFERROR(INDEX('Comment flow'!$C$40:$C$46,MATCH(I1971,'Comment flow'!$A$40:$A$46,0)),""))</f>
        <v/>
      </c>
      <c r="N1971" s="46" t="str">
        <f aca="false">IF(B1971="","",IF(OR(I1971="",I1971="Open: needs a decision",L1971=""),"Open","Closed"))</f>
        <v/>
      </c>
      <c r="O1971" s="46"/>
      <c r="P1971" s="46" t="str">
        <f aca="false">IF(OR(B1971="",I1971&lt;&gt;"Save for a later revision"),"",IF(COUNTIF('Deferred edits'!$K$2:$K$201,A1971)&gt;0,"Yes","● Add to Deferred edits"))</f>
        <v/>
      </c>
    </row>
    <row r="1972" customFormat="false" ht="15" hidden="false" customHeight="false" outlineLevel="0" collapsed="false">
      <c r="A1972" s="46" t="s">
        <v>2267</v>
      </c>
      <c r="B1972" s="46"/>
      <c r="C1972" s="46"/>
      <c r="D1972" s="46"/>
      <c r="E1972" s="46"/>
      <c r="F1972" s="46"/>
      <c r="G1972" s="46"/>
      <c r="H1972" s="46"/>
      <c r="I1972" s="46"/>
      <c r="J1972" s="46"/>
      <c r="K1972" s="46"/>
      <c r="L1972" s="46"/>
      <c r="M1972" s="46" t="str">
        <f aca="false">IF(OR(B1972="",I1972=""),"",IFERROR(INDEX('Comment flow'!$C$40:$C$46,MATCH(I1972,'Comment flow'!$A$40:$A$46,0)),""))</f>
        <v/>
      </c>
      <c r="N1972" s="46" t="str">
        <f aca="false">IF(B1972="","",IF(OR(I1972="",I1972="Open: needs a decision",L1972=""),"Open","Closed"))</f>
        <v/>
      </c>
      <c r="O1972" s="46"/>
      <c r="P1972" s="46" t="str">
        <f aca="false">IF(OR(B1972="",I1972&lt;&gt;"Save for a later revision"),"",IF(COUNTIF('Deferred edits'!$K$2:$K$201,A1972)&gt;0,"Yes","● Add to Deferred edits"))</f>
        <v/>
      </c>
    </row>
    <row r="1973" customFormat="false" ht="15" hidden="false" customHeight="false" outlineLevel="0" collapsed="false">
      <c r="A1973" s="46" t="s">
        <v>2268</v>
      </c>
      <c r="B1973" s="46"/>
      <c r="C1973" s="46"/>
      <c r="D1973" s="46"/>
      <c r="E1973" s="46"/>
      <c r="F1973" s="46"/>
      <c r="G1973" s="46"/>
      <c r="H1973" s="46"/>
      <c r="I1973" s="46"/>
      <c r="J1973" s="46"/>
      <c r="K1973" s="46"/>
      <c r="L1973" s="46"/>
      <c r="M1973" s="46" t="str">
        <f aca="false">IF(OR(B1973="",I1973=""),"",IFERROR(INDEX('Comment flow'!$C$40:$C$46,MATCH(I1973,'Comment flow'!$A$40:$A$46,0)),""))</f>
        <v/>
      </c>
      <c r="N1973" s="46" t="str">
        <f aca="false">IF(B1973="","",IF(OR(I1973="",I1973="Open: needs a decision",L1973=""),"Open","Closed"))</f>
        <v/>
      </c>
      <c r="O1973" s="46"/>
      <c r="P1973" s="46" t="str">
        <f aca="false">IF(OR(B1973="",I1973&lt;&gt;"Save for a later revision"),"",IF(COUNTIF('Deferred edits'!$K$2:$K$201,A1973)&gt;0,"Yes","● Add to Deferred edits"))</f>
        <v/>
      </c>
    </row>
    <row r="1974" customFormat="false" ht="15" hidden="false" customHeight="false" outlineLevel="0" collapsed="false">
      <c r="A1974" s="46" t="s">
        <v>2269</v>
      </c>
      <c r="B1974" s="46"/>
      <c r="C1974" s="46"/>
      <c r="D1974" s="46"/>
      <c r="E1974" s="46"/>
      <c r="F1974" s="46"/>
      <c r="G1974" s="46"/>
      <c r="H1974" s="46"/>
      <c r="I1974" s="46"/>
      <c r="J1974" s="46"/>
      <c r="K1974" s="46"/>
      <c r="L1974" s="46"/>
      <c r="M1974" s="46" t="str">
        <f aca="false">IF(OR(B1974="",I1974=""),"",IFERROR(INDEX('Comment flow'!$C$40:$C$46,MATCH(I1974,'Comment flow'!$A$40:$A$46,0)),""))</f>
        <v/>
      </c>
      <c r="N1974" s="46" t="str">
        <f aca="false">IF(B1974="","",IF(OR(I1974="",I1974="Open: needs a decision",L1974=""),"Open","Closed"))</f>
        <v/>
      </c>
      <c r="O1974" s="46"/>
      <c r="P1974" s="46" t="str">
        <f aca="false">IF(OR(B1974="",I1974&lt;&gt;"Save for a later revision"),"",IF(COUNTIF('Deferred edits'!$K$2:$K$201,A1974)&gt;0,"Yes","● Add to Deferred edits"))</f>
        <v/>
      </c>
    </row>
    <row r="1975" customFormat="false" ht="15" hidden="false" customHeight="false" outlineLevel="0" collapsed="false">
      <c r="A1975" s="46" t="s">
        <v>2270</v>
      </c>
      <c r="B1975" s="46"/>
      <c r="C1975" s="46"/>
      <c r="D1975" s="46"/>
      <c r="E1975" s="46"/>
      <c r="F1975" s="46"/>
      <c r="G1975" s="46"/>
      <c r="H1975" s="46"/>
      <c r="I1975" s="46"/>
      <c r="J1975" s="46"/>
      <c r="K1975" s="46"/>
      <c r="L1975" s="46"/>
      <c r="M1975" s="46" t="str">
        <f aca="false">IF(OR(B1975="",I1975=""),"",IFERROR(INDEX('Comment flow'!$C$40:$C$46,MATCH(I1975,'Comment flow'!$A$40:$A$46,0)),""))</f>
        <v/>
      </c>
      <c r="N1975" s="46" t="str">
        <f aca="false">IF(B1975="","",IF(OR(I1975="",I1975="Open: needs a decision",L1975=""),"Open","Closed"))</f>
        <v/>
      </c>
      <c r="O1975" s="46"/>
      <c r="P1975" s="46" t="str">
        <f aca="false">IF(OR(B1975="",I1975&lt;&gt;"Save for a later revision"),"",IF(COUNTIF('Deferred edits'!$K$2:$K$201,A1975)&gt;0,"Yes","● Add to Deferred edits"))</f>
        <v/>
      </c>
    </row>
    <row r="1976" customFormat="false" ht="15" hidden="false" customHeight="false" outlineLevel="0" collapsed="false">
      <c r="A1976" s="46" t="s">
        <v>2271</v>
      </c>
      <c r="B1976" s="46"/>
      <c r="C1976" s="46"/>
      <c r="D1976" s="46"/>
      <c r="E1976" s="46"/>
      <c r="F1976" s="46"/>
      <c r="G1976" s="46"/>
      <c r="H1976" s="46"/>
      <c r="I1976" s="46"/>
      <c r="J1976" s="46"/>
      <c r="K1976" s="46"/>
      <c r="L1976" s="46"/>
      <c r="M1976" s="46" t="str">
        <f aca="false">IF(OR(B1976="",I1976=""),"",IFERROR(INDEX('Comment flow'!$C$40:$C$46,MATCH(I1976,'Comment flow'!$A$40:$A$46,0)),""))</f>
        <v/>
      </c>
      <c r="N1976" s="46" t="str">
        <f aca="false">IF(B1976="","",IF(OR(I1976="",I1976="Open: needs a decision",L1976=""),"Open","Closed"))</f>
        <v/>
      </c>
      <c r="O1976" s="46"/>
      <c r="P1976" s="46" t="str">
        <f aca="false">IF(OR(B1976="",I1976&lt;&gt;"Save for a later revision"),"",IF(COUNTIF('Deferred edits'!$K$2:$K$201,A1976)&gt;0,"Yes","● Add to Deferred edits"))</f>
        <v/>
      </c>
    </row>
    <row r="1977" customFormat="false" ht="15" hidden="false" customHeight="false" outlineLevel="0" collapsed="false">
      <c r="A1977" s="46" t="s">
        <v>2272</v>
      </c>
      <c r="B1977" s="46"/>
      <c r="C1977" s="46"/>
      <c r="D1977" s="46"/>
      <c r="E1977" s="46"/>
      <c r="F1977" s="46"/>
      <c r="G1977" s="46"/>
      <c r="H1977" s="46"/>
      <c r="I1977" s="46"/>
      <c r="J1977" s="46"/>
      <c r="K1977" s="46"/>
      <c r="L1977" s="46"/>
      <c r="M1977" s="46" t="str">
        <f aca="false">IF(OR(B1977="",I1977=""),"",IFERROR(INDEX('Comment flow'!$C$40:$C$46,MATCH(I1977,'Comment flow'!$A$40:$A$46,0)),""))</f>
        <v/>
      </c>
      <c r="N1977" s="46" t="str">
        <f aca="false">IF(B1977="","",IF(OR(I1977="",I1977="Open: needs a decision",L1977=""),"Open","Closed"))</f>
        <v/>
      </c>
      <c r="O1977" s="46"/>
      <c r="P1977" s="46" t="str">
        <f aca="false">IF(OR(B1977="",I1977&lt;&gt;"Save for a later revision"),"",IF(COUNTIF('Deferred edits'!$K$2:$K$201,A1977)&gt;0,"Yes","● Add to Deferred edits"))</f>
        <v/>
      </c>
    </row>
    <row r="1978" customFormat="false" ht="15" hidden="false" customHeight="false" outlineLevel="0" collapsed="false">
      <c r="A1978" s="46" t="s">
        <v>2273</v>
      </c>
      <c r="B1978" s="46"/>
      <c r="C1978" s="46"/>
      <c r="D1978" s="46"/>
      <c r="E1978" s="46"/>
      <c r="F1978" s="46"/>
      <c r="G1978" s="46"/>
      <c r="H1978" s="46"/>
      <c r="I1978" s="46"/>
      <c r="J1978" s="46"/>
      <c r="K1978" s="46"/>
      <c r="L1978" s="46"/>
      <c r="M1978" s="46" t="str">
        <f aca="false">IF(OR(B1978="",I1978=""),"",IFERROR(INDEX('Comment flow'!$C$40:$C$46,MATCH(I1978,'Comment flow'!$A$40:$A$46,0)),""))</f>
        <v/>
      </c>
      <c r="N1978" s="46" t="str">
        <f aca="false">IF(B1978="","",IF(OR(I1978="",I1978="Open: needs a decision",L1978=""),"Open","Closed"))</f>
        <v/>
      </c>
      <c r="O1978" s="46"/>
      <c r="P1978" s="46" t="str">
        <f aca="false">IF(OR(B1978="",I1978&lt;&gt;"Save for a later revision"),"",IF(COUNTIF('Deferred edits'!$K$2:$K$201,A1978)&gt;0,"Yes","● Add to Deferred edits"))</f>
        <v/>
      </c>
    </row>
    <row r="1979" customFormat="false" ht="15" hidden="false" customHeight="false" outlineLevel="0" collapsed="false">
      <c r="A1979" s="46" t="s">
        <v>2274</v>
      </c>
      <c r="B1979" s="46"/>
      <c r="C1979" s="46"/>
      <c r="D1979" s="46"/>
      <c r="E1979" s="46"/>
      <c r="F1979" s="46"/>
      <c r="G1979" s="46"/>
      <c r="H1979" s="46"/>
      <c r="I1979" s="46"/>
      <c r="J1979" s="46"/>
      <c r="K1979" s="46"/>
      <c r="L1979" s="46"/>
      <c r="M1979" s="46" t="str">
        <f aca="false">IF(OR(B1979="",I1979=""),"",IFERROR(INDEX('Comment flow'!$C$40:$C$46,MATCH(I1979,'Comment flow'!$A$40:$A$46,0)),""))</f>
        <v/>
      </c>
      <c r="N1979" s="46" t="str">
        <f aca="false">IF(B1979="","",IF(OR(I1979="",I1979="Open: needs a decision",L1979=""),"Open","Closed"))</f>
        <v/>
      </c>
      <c r="O1979" s="46"/>
      <c r="P1979" s="46" t="str">
        <f aca="false">IF(OR(B1979="",I1979&lt;&gt;"Save for a later revision"),"",IF(COUNTIF('Deferred edits'!$K$2:$K$201,A1979)&gt;0,"Yes","● Add to Deferred edits"))</f>
        <v/>
      </c>
    </row>
    <row r="1980" customFormat="false" ht="15" hidden="false" customHeight="false" outlineLevel="0" collapsed="false">
      <c r="A1980" s="46" t="s">
        <v>2275</v>
      </c>
      <c r="B1980" s="46"/>
      <c r="C1980" s="46"/>
      <c r="D1980" s="46"/>
      <c r="E1980" s="46"/>
      <c r="F1980" s="46"/>
      <c r="G1980" s="46"/>
      <c r="H1980" s="46"/>
      <c r="I1980" s="46"/>
      <c r="J1980" s="46"/>
      <c r="K1980" s="46"/>
      <c r="L1980" s="46"/>
      <c r="M1980" s="46" t="str">
        <f aca="false">IF(OR(B1980="",I1980=""),"",IFERROR(INDEX('Comment flow'!$C$40:$C$46,MATCH(I1980,'Comment flow'!$A$40:$A$46,0)),""))</f>
        <v/>
      </c>
      <c r="N1980" s="46" t="str">
        <f aca="false">IF(B1980="","",IF(OR(I1980="",I1980="Open: needs a decision",L1980=""),"Open","Closed"))</f>
        <v/>
      </c>
      <c r="O1980" s="46"/>
      <c r="P1980" s="46" t="str">
        <f aca="false">IF(OR(B1980="",I1980&lt;&gt;"Save for a later revision"),"",IF(COUNTIF('Deferred edits'!$K$2:$K$201,A1980)&gt;0,"Yes","● Add to Deferred edits"))</f>
        <v/>
      </c>
    </row>
    <row r="1981" customFormat="false" ht="15" hidden="false" customHeight="false" outlineLevel="0" collapsed="false">
      <c r="A1981" s="46" t="s">
        <v>2276</v>
      </c>
      <c r="B1981" s="46"/>
      <c r="C1981" s="46"/>
      <c r="D1981" s="46"/>
      <c r="E1981" s="46"/>
      <c r="F1981" s="46"/>
      <c r="G1981" s="46"/>
      <c r="H1981" s="46"/>
      <c r="I1981" s="46"/>
      <c r="J1981" s="46"/>
      <c r="K1981" s="46"/>
      <c r="L1981" s="46"/>
      <c r="M1981" s="46" t="str">
        <f aca="false">IF(OR(B1981="",I1981=""),"",IFERROR(INDEX('Comment flow'!$C$40:$C$46,MATCH(I1981,'Comment flow'!$A$40:$A$46,0)),""))</f>
        <v/>
      </c>
      <c r="N1981" s="46" t="str">
        <f aca="false">IF(B1981="","",IF(OR(I1981="",I1981="Open: needs a decision",L1981=""),"Open","Closed"))</f>
        <v/>
      </c>
      <c r="O1981" s="46"/>
      <c r="P1981" s="46" t="str">
        <f aca="false">IF(OR(B1981="",I1981&lt;&gt;"Save for a later revision"),"",IF(COUNTIF('Deferred edits'!$K$2:$K$201,A1981)&gt;0,"Yes","● Add to Deferred edits"))</f>
        <v/>
      </c>
    </row>
    <row r="1982" customFormat="false" ht="15" hidden="false" customHeight="false" outlineLevel="0" collapsed="false">
      <c r="A1982" s="46" t="s">
        <v>2277</v>
      </c>
      <c r="B1982" s="46"/>
      <c r="C1982" s="46"/>
      <c r="D1982" s="46"/>
      <c r="E1982" s="46"/>
      <c r="F1982" s="46"/>
      <c r="G1982" s="46"/>
      <c r="H1982" s="46"/>
      <c r="I1982" s="46"/>
      <c r="J1982" s="46"/>
      <c r="K1982" s="46"/>
      <c r="L1982" s="46"/>
      <c r="M1982" s="46" t="str">
        <f aca="false">IF(OR(B1982="",I1982=""),"",IFERROR(INDEX('Comment flow'!$C$40:$C$46,MATCH(I1982,'Comment flow'!$A$40:$A$46,0)),""))</f>
        <v/>
      </c>
      <c r="N1982" s="46" t="str">
        <f aca="false">IF(B1982="","",IF(OR(I1982="",I1982="Open: needs a decision",L1982=""),"Open","Closed"))</f>
        <v/>
      </c>
      <c r="O1982" s="46"/>
      <c r="P1982" s="46" t="str">
        <f aca="false">IF(OR(B1982="",I1982&lt;&gt;"Save for a later revision"),"",IF(COUNTIF('Deferred edits'!$K$2:$K$201,A1982)&gt;0,"Yes","● Add to Deferred edits"))</f>
        <v/>
      </c>
    </row>
    <row r="1983" customFormat="false" ht="15" hidden="false" customHeight="false" outlineLevel="0" collapsed="false">
      <c r="A1983" s="46" t="s">
        <v>2278</v>
      </c>
      <c r="B1983" s="46"/>
      <c r="C1983" s="46"/>
      <c r="D1983" s="46"/>
      <c r="E1983" s="46"/>
      <c r="F1983" s="46"/>
      <c r="G1983" s="46"/>
      <c r="H1983" s="46"/>
      <c r="I1983" s="46"/>
      <c r="J1983" s="46"/>
      <c r="K1983" s="46"/>
      <c r="L1983" s="46"/>
      <c r="M1983" s="46" t="str">
        <f aca="false">IF(OR(B1983="",I1983=""),"",IFERROR(INDEX('Comment flow'!$C$40:$C$46,MATCH(I1983,'Comment flow'!$A$40:$A$46,0)),""))</f>
        <v/>
      </c>
      <c r="N1983" s="46" t="str">
        <f aca="false">IF(B1983="","",IF(OR(I1983="",I1983="Open: needs a decision",L1983=""),"Open","Closed"))</f>
        <v/>
      </c>
      <c r="O1983" s="46"/>
      <c r="P1983" s="46" t="str">
        <f aca="false">IF(OR(B1983="",I1983&lt;&gt;"Save for a later revision"),"",IF(COUNTIF('Deferred edits'!$K$2:$K$201,A1983)&gt;0,"Yes","● Add to Deferred edits"))</f>
        <v/>
      </c>
    </row>
    <row r="1984" customFormat="false" ht="15" hidden="false" customHeight="false" outlineLevel="0" collapsed="false">
      <c r="A1984" s="46" t="s">
        <v>2279</v>
      </c>
      <c r="B1984" s="46"/>
      <c r="C1984" s="46"/>
      <c r="D1984" s="46"/>
      <c r="E1984" s="46"/>
      <c r="F1984" s="46"/>
      <c r="G1984" s="46"/>
      <c r="H1984" s="46"/>
      <c r="I1984" s="46"/>
      <c r="J1984" s="46"/>
      <c r="K1984" s="46"/>
      <c r="L1984" s="46"/>
      <c r="M1984" s="46" t="str">
        <f aca="false">IF(OR(B1984="",I1984=""),"",IFERROR(INDEX('Comment flow'!$C$40:$C$46,MATCH(I1984,'Comment flow'!$A$40:$A$46,0)),""))</f>
        <v/>
      </c>
      <c r="N1984" s="46" t="str">
        <f aca="false">IF(B1984="","",IF(OR(I1984="",I1984="Open: needs a decision",L1984=""),"Open","Closed"))</f>
        <v/>
      </c>
      <c r="O1984" s="46"/>
      <c r="P1984" s="46" t="str">
        <f aca="false">IF(OR(B1984="",I1984&lt;&gt;"Save for a later revision"),"",IF(COUNTIF('Deferred edits'!$K$2:$K$201,A1984)&gt;0,"Yes","● Add to Deferred edits"))</f>
        <v/>
      </c>
    </row>
    <row r="1985" customFormat="false" ht="15" hidden="false" customHeight="false" outlineLevel="0" collapsed="false">
      <c r="A1985" s="46" t="s">
        <v>2280</v>
      </c>
      <c r="B1985" s="46"/>
      <c r="C1985" s="46"/>
      <c r="D1985" s="46"/>
      <c r="E1985" s="46"/>
      <c r="F1985" s="46"/>
      <c r="G1985" s="46"/>
      <c r="H1985" s="46"/>
      <c r="I1985" s="46"/>
      <c r="J1985" s="46"/>
      <c r="K1985" s="46"/>
      <c r="L1985" s="46"/>
      <c r="M1985" s="46" t="str">
        <f aca="false">IF(OR(B1985="",I1985=""),"",IFERROR(INDEX('Comment flow'!$C$40:$C$46,MATCH(I1985,'Comment flow'!$A$40:$A$46,0)),""))</f>
        <v/>
      </c>
      <c r="N1985" s="46" t="str">
        <f aca="false">IF(B1985="","",IF(OR(I1985="",I1985="Open: needs a decision",L1985=""),"Open","Closed"))</f>
        <v/>
      </c>
      <c r="O1985" s="46"/>
      <c r="P1985" s="46" t="str">
        <f aca="false">IF(OR(B1985="",I1985&lt;&gt;"Save for a later revision"),"",IF(COUNTIF('Deferred edits'!$K$2:$K$201,A1985)&gt;0,"Yes","● Add to Deferred edits"))</f>
        <v/>
      </c>
    </row>
    <row r="1986" customFormat="false" ht="15" hidden="false" customHeight="false" outlineLevel="0" collapsed="false">
      <c r="A1986" s="46" t="s">
        <v>2281</v>
      </c>
      <c r="B1986" s="46"/>
      <c r="C1986" s="46"/>
      <c r="D1986" s="46"/>
      <c r="E1986" s="46"/>
      <c r="F1986" s="46"/>
      <c r="G1986" s="46"/>
      <c r="H1986" s="46"/>
      <c r="I1986" s="46"/>
      <c r="J1986" s="46"/>
      <c r="K1986" s="46"/>
      <c r="L1986" s="46"/>
      <c r="M1986" s="46" t="str">
        <f aca="false">IF(OR(B1986="",I1986=""),"",IFERROR(INDEX('Comment flow'!$C$40:$C$46,MATCH(I1986,'Comment flow'!$A$40:$A$46,0)),""))</f>
        <v/>
      </c>
      <c r="N1986" s="46" t="str">
        <f aca="false">IF(B1986="","",IF(OR(I1986="",I1986="Open: needs a decision",L1986=""),"Open","Closed"))</f>
        <v/>
      </c>
      <c r="O1986" s="46"/>
      <c r="P1986" s="46" t="str">
        <f aca="false">IF(OR(B1986="",I1986&lt;&gt;"Save for a later revision"),"",IF(COUNTIF('Deferred edits'!$K$2:$K$201,A1986)&gt;0,"Yes","● Add to Deferred edits"))</f>
        <v/>
      </c>
    </row>
    <row r="1987" customFormat="false" ht="15" hidden="false" customHeight="false" outlineLevel="0" collapsed="false">
      <c r="A1987" s="46" t="s">
        <v>2282</v>
      </c>
      <c r="B1987" s="46"/>
      <c r="C1987" s="46"/>
      <c r="D1987" s="46"/>
      <c r="E1987" s="46"/>
      <c r="F1987" s="46"/>
      <c r="G1987" s="46"/>
      <c r="H1987" s="46"/>
      <c r="I1987" s="46"/>
      <c r="J1987" s="46"/>
      <c r="K1987" s="46"/>
      <c r="L1987" s="46"/>
      <c r="M1987" s="46" t="str">
        <f aca="false">IF(OR(B1987="",I1987=""),"",IFERROR(INDEX('Comment flow'!$C$40:$C$46,MATCH(I1987,'Comment flow'!$A$40:$A$46,0)),""))</f>
        <v/>
      </c>
      <c r="N1987" s="46" t="str">
        <f aca="false">IF(B1987="","",IF(OR(I1987="",I1987="Open: needs a decision",L1987=""),"Open","Closed"))</f>
        <v/>
      </c>
      <c r="O1987" s="46"/>
      <c r="P1987" s="46" t="str">
        <f aca="false">IF(OR(B1987="",I1987&lt;&gt;"Save for a later revision"),"",IF(COUNTIF('Deferred edits'!$K$2:$K$201,A1987)&gt;0,"Yes","● Add to Deferred edits"))</f>
        <v/>
      </c>
    </row>
    <row r="1988" customFormat="false" ht="15" hidden="false" customHeight="false" outlineLevel="0" collapsed="false">
      <c r="A1988" s="46" t="s">
        <v>2283</v>
      </c>
      <c r="B1988" s="46"/>
      <c r="C1988" s="46"/>
      <c r="D1988" s="46"/>
      <c r="E1988" s="46"/>
      <c r="F1988" s="46"/>
      <c r="G1988" s="46"/>
      <c r="H1988" s="46"/>
      <c r="I1988" s="46"/>
      <c r="J1988" s="46"/>
      <c r="K1988" s="46"/>
      <c r="L1988" s="46"/>
      <c r="M1988" s="46" t="str">
        <f aca="false">IF(OR(B1988="",I1988=""),"",IFERROR(INDEX('Comment flow'!$C$40:$C$46,MATCH(I1988,'Comment flow'!$A$40:$A$46,0)),""))</f>
        <v/>
      </c>
      <c r="N1988" s="46" t="str">
        <f aca="false">IF(B1988="","",IF(OR(I1988="",I1988="Open: needs a decision",L1988=""),"Open","Closed"))</f>
        <v/>
      </c>
      <c r="O1988" s="46"/>
      <c r="P1988" s="46" t="str">
        <f aca="false">IF(OR(B1988="",I1988&lt;&gt;"Save for a later revision"),"",IF(COUNTIF('Deferred edits'!$K$2:$K$201,A1988)&gt;0,"Yes","● Add to Deferred edits"))</f>
        <v/>
      </c>
    </row>
    <row r="1989" customFormat="false" ht="15" hidden="false" customHeight="false" outlineLevel="0" collapsed="false">
      <c r="A1989" s="46" t="s">
        <v>2284</v>
      </c>
      <c r="B1989" s="46"/>
      <c r="C1989" s="46"/>
      <c r="D1989" s="46"/>
      <c r="E1989" s="46"/>
      <c r="F1989" s="46"/>
      <c r="G1989" s="46"/>
      <c r="H1989" s="46"/>
      <c r="I1989" s="46"/>
      <c r="J1989" s="46"/>
      <c r="K1989" s="46"/>
      <c r="L1989" s="46"/>
      <c r="M1989" s="46" t="str">
        <f aca="false">IF(OR(B1989="",I1989=""),"",IFERROR(INDEX('Comment flow'!$C$40:$C$46,MATCH(I1989,'Comment flow'!$A$40:$A$46,0)),""))</f>
        <v/>
      </c>
      <c r="N1989" s="46" t="str">
        <f aca="false">IF(B1989="","",IF(OR(I1989="",I1989="Open: needs a decision",L1989=""),"Open","Closed"))</f>
        <v/>
      </c>
      <c r="O1989" s="46"/>
      <c r="P1989" s="46" t="str">
        <f aca="false">IF(OR(B1989="",I1989&lt;&gt;"Save for a later revision"),"",IF(COUNTIF('Deferred edits'!$K$2:$K$201,A1989)&gt;0,"Yes","● Add to Deferred edits"))</f>
        <v/>
      </c>
    </row>
    <row r="1990" customFormat="false" ht="15" hidden="false" customHeight="false" outlineLevel="0" collapsed="false">
      <c r="A1990" s="46" t="s">
        <v>2285</v>
      </c>
      <c r="B1990" s="46"/>
      <c r="C1990" s="46"/>
      <c r="D1990" s="46"/>
      <c r="E1990" s="46"/>
      <c r="F1990" s="46"/>
      <c r="G1990" s="46"/>
      <c r="H1990" s="46"/>
      <c r="I1990" s="46"/>
      <c r="J1990" s="46"/>
      <c r="K1990" s="46"/>
      <c r="L1990" s="46"/>
      <c r="M1990" s="46" t="str">
        <f aca="false">IF(OR(B1990="",I1990=""),"",IFERROR(INDEX('Comment flow'!$C$40:$C$46,MATCH(I1990,'Comment flow'!$A$40:$A$46,0)),""))</f>
        <v/>
      </c>
      <c r="N1990" s="46" t="str">
        <f aca="false">IF(B1990="","",IF(OR(I1990="",I1990="Open: needs a decision",L1990=""),"Open","Closed"))</f>
        <v/>
      </c>
      <c r="O1990" s="46"/>
      <c r="P1990" s="46" t="str">
        <f aca="false">IF(OR(B1990="",I1990&lt;&gt;"Save for a later revision"),"",IF(COUNTIF('Deferred edits'!$K$2:$K$201,A1990)&gt;0,"Yes","● Add to Deferred edits"))</f>
        <v/>
      </c>
    </row>
    <row r="1991" customFormat="false" ht="15" hidden="false" customHeight="false" outlineLevel="0" collapsed="false">
      <c r="A1991" s="46" t="s">
        <v>2286</v>
      </c>
      <c r="B1991" s="46"/>
      <c r="C1991" s="46"/>
      <c r="D1991" s="46"/>
      <c r="E1991" s="46"/>
      <c r="F1991" s="46"/>
      <c r="G1991" s="46"/>
      <c r="H1991" s="46"/>
      <c r="I1991" s="46"/>
      <c r="J1991" s="46"/>
      <c r="K1991" s="46"/>
      <c r="L1991" s="46"/>
      <c r="M1991" s="46" t="str">
        <f aca="false">IF(OR(B1991="",I1991=""),"",IFERROR(INDEX('Comment flow'!$C$40:$C$46,MATCH(I1991,'Comment flow'!$A$40:$A$46,0)),""))</f>
        <v/>
      </c>
      <c r="N1991" s="46" t="str">
        <f aca="false">IF(B1991="","",IF(OR(I1991="",I1991="Open: needs a decision",L1991=""),"Open","Closed"))</f>
        <v/>
      </c>
      <c r="O1991" s="46"/>
      <c r="P1991" s="46" t="str">
        <f aca="false">IF(OR(B1991="",I1991&lt;&gt;"Save for a later revision"),"",IF(COUNTIF('Deferred edits'!$K$2:$K$201,A1991)&gt;0,"Yes","● Add to Deferred edits"))</f>
        <v/>
      </c>
    </row>
    <row r="1992" customFormat="false" ht="15" hidden="false" customHeight="false" outlineLevel="0" collapsed="false">
      <c r="A1992" s="46" t="s">
        <v>2287</v>
      </c>
      <c r="B1992" s="46"/>
      <c r="C1992" s="46"/>
      <c r="D1992" s="46"/>
      <c r="E1992" s="46"/>
      <c r="F1992" s="46"/>
      <c r="G1992" s="46"/>
      <c r="H1992" s="46"/>
      <c r="I1992" s="46"/>
      <c r="J1992" s="46"/>
      <c r="K1992" s="46"/>
      <c r="L1992" s="46"/>
      <c r="M1992" s="46" t="str">
        <f aca="false">IF(OR(B1992="",I1992=""),"",IFERROR(INDEX('Comment flow'!$C$40:$C$46,MATCH(I1992,'Comment flow'!$A$40:$A$46,0)),""))</f>
        <v/>
      </c>
      <c r="N1992" s="46" t="str">
        <f aca="false">IF(B1992="","",IF(OR(I1992="",I1992="Open: needs a decision",L1992=""),"Open","Closed"))</f>
        <v/>
      </c>
      <c r="O1992" s="46"/>
      <c r="P1992" s="46" t="str">
        <f aca="false">IF(OR(B1992="",I1992&lt;&gt;"Save for a later revision"),"",IF(COUNTIF('Deferred edits'!$K$2:$K$201,A1992)&gt;0,"Yes","● Add to Deferred edits"))</f>
        <v/>
      </c>
    </row>
    <row r="1993" customFormat="false" ht="15" hidden="false" customHeight="false" outlineLevel="0" collapsed="false">
      <c r="A1993" s="46" t="s">
        <v>2288</v>
      </c>
      <c r="B1993" s="46"/>
      <c r="C1993" s="46"/>
      <c r="D1993" s="46"/>
      <c r="E1993" s="46"/>
      <c r="F1993" s="46"/>
      <c r="G1993" s="46"/>
      <c r="H1993" s="46"/>
      <c r="I1993" s="46"/>
      <c r="J1993" s="46"/>
      <c r="K1993" s="46"/>
      <c r="L1993" s="46"/>
      <c r="M1993" s="46" t="str">
        <f aca="false">IF(OR(B1993="",I1993=""),"",IFERROR(INDEX('Comment flow'!$C$40:$C$46,MATCH(I1993,'Comment flow'!$A$40:$A$46,0)),""))</f>
        <v/>
      </c>
      <c r="N1993" s="46" t="str">
        <f aca="false">IF(B1993="","",IF(OR(I1993="",I1993="Open: needs a decision",L1993=""),"Open","Closed"))</f>
        <v/>
      </c>
      <c r="O1993" s="46"/>
      <c r="P1993" s="46" t="str">
        <f aca="false">IF(OR(B1993="",I1993&lt;&gt;"Save for a later revision"),"",IF(COUNTIF('Deferred edits'!$K$2:$K$201,A1993)&gt;0,"Yes","● Add to Deferred edits"))</f>
        <v/>
      </c>
    </row>
    <row r="1994" customFormat="false" ht="15" hidden="false" customHeight="false" outlineLevel="0" collapsed="false">
      <c r="A1994" s="46" t="s">
        <v>2289</v>
      </c>
      <c r="B1994" s="46"/>
      <c r="C1994" s="46"/>
      <c r="D1994" s="46"/>
      <c r="E1994" s="46"/>
      <c r="F1994" s="46"/>
      <c r="G1994" s="46"/>
      <c r="H1994" s="46"/>
      <c r="I1994" s="46"/>
      <c r="J1994" s="46"/>
      <c r="K1994" s="46"/>
      <c r="L1994" s="46"/>
      <c r="M1994" s="46" t="str">
        <f aca="false">IF(OR(B1994="",I1994=""),"",IFERROR(INDEX('Comment flow'!$C$40:$C$46,MATCH(I1994,'Comment flow'!$A$40:$A$46,0)),""))</f>
        <v/>
      </c>
      <c r="N1994" s="46" t="str">
        <f aca="false">IF(B1994="","",IF(OR(I1994="",I1994="Open: needs a decision",L1994=""),"Open","Closed"))</f>
        <v/>
      </c>
      <c r="O1994" s="46"/>
      <c r="P1994" s="46" t="str">
        <f aca="false">IF(OR(B1994="",I1994&lt;&gt;"Save for a later revision"),"",IF(COUNTIF('Deferred edits'!$K$2:$K$201,A1994)&gt;0,"Yes","● Add to Deferred edits"))</f>
        <v/>
      </c>
    </row>
    <row r="1995" customFormat="false" ht="15" hidden="false" customHeight="false" outlineLevel="0" collapsed="false">
      <c r="A1995" s="46" t="s">
        <v>2290</v>
      </c>
      <c r="B1995" s="46"/>
      <c r="C1995" s="46"/>
      <c r="D1995" s="46"/>
      <c r="E1995" s="46"/>
      <c r="F1995" s="46"/>
      <c r="G1995" s="46"/>
      <c r="H1995" s="46"/>
      <c r="I1995" s="46"/>
      <c r="J1995" s="46"/>
      <c r="K1995" s="46"/>
      <c r="L1995" s="46"/>
      <c r="M1995" s="46" t="str">
        <f aca="false">IF(OR(B1995="",I1995=""),"",IFERROR(INDEX('Comment flow'!$C$40:$C$46,MATCH(I1995,'Comment flow'!$A$40:$A$46,0)),""))</f>
        <v/>
      </c>
      <c r="N1995" s="46" t="str">
        <f aca="false">IF(B1995="","",IF(OR(I1995="",I1995="Open: needs a decision",L1995=""),"Open","Closed"))</f>
        <v/>
      </c>
      <c r="O1995" s="46"/>
      <c r="P1995" s="46" t="str">
        <f aca="false">IF(OR(B1995="",I1995&lt;&gt;"Save for a later revision"),"",IF(COUNTIF('Deferred edits'!$K$2:$K$201,A1995)&gt;0,"Yes","● Add to Deferred edits"))</f>
        <v/>
      </c>
    </row>
    <row r="1996" customFormat="false" ht="15" hidden="false" customHeight="false" outlineLevel="0" collapsed="false">
      <c r="A1996" s="46" t="s">
        <v>2291</v>
      </c>
      <c r="B1996" s="46"/>
      <c r="C1996" s="46"/>
      <c r="D1996" s="46"/>
      <c r="E1996" s="46"/>
      <c r="F1996" s="46"/>
      <c r="G1996" s="46"/>
      <c r="H1996" s="46"/>
      <c r="I1996" s="46"/>
      <c r="J1996" s="46"/>
      <c r="K1996" s="46"/>
      <c r="L1996" s="46"/>
      <c r="M1996" s="46" t="str">
        <f aca="false">IF(OR(B1996="",I1996=""),"",IFERROR(INDEX('Comment flow'!$C$40:$C$46,MATCH(I1996,'Comment flow'!$A$40:$A$46,0)),""))</f>
        <v/>
      </c>
      <c r="N1996" s="46" t="str">
        <f aca="false">IF(B1996="","",IF(OR(I1996="",I1996="Open: needs a decision",L1996=""),"Open","Closed"))</f>
        <v/>
      </c>
      <c r="O1996" s="46"/>
      <c r="P1996" s="46" t="str">
        <f aca="false">IF(OR(B1996="",I1996&lt;&gt;"Save for a later revision"),"",IF(COUNTIF('Deferred edits'!$K$2:$K$201,A1996)&gt;0,"Yes","● Add to Deferred edits"))</f>
        <v/>
      </c>
    </row>
    <row r="1997" customFormat="false" ht="15" hidden="false" customHeight="false" outlineLevel="0" collapsed="false">
      <c r="A1997" s="46" t="s">
        <v>2292</v>
      </c>
      <c r="B1997" s="46"/>
      <c r="C1997" s="46"/>
      <c r="D1997" s="46"/>
      <c r="E1997" s="46"/>
      <c r="F1997" s="46"/>
      <c r="G1997" s="46"/>
      <c r="H1997" s="46"/>
      <c r="I1997" s="46"/>
      <c r="J1997" s="46"/>
      <c r="K1997" s="46"/>
      <c r="L1997" s="46"/>
      <c r="M1997" s="46" t="str">
        <f aca="false">IF(OR(B1997="",I1997=""),"",IFERROR(INDEX('Comment flow'!$C$40:$C$46,MATCH(I1997,'Comment flow'!$A$40:$A$46,0)),""))</f>
        <v/>
      </c>
      <c r="N1997" s="46" t="str">
        <f aca="false">IF(B1997="","",IF(OR(I1997="",I1997="Open: needs a decision",L1997=""),"Open","Closed"))</f>
        <v/>
      </c>
      <c r="O1997" s="46"/>
      <c r="P1997" s="46" t="str">
        <f aca="false">IF(OR(B1997="",I1997&lt;&gt;"Save for a later revision"),"",IF(COUNTIF('Deferred edits'!$K$2:$K$201,A1997)&gt;0,"Yes","● Add to Deferred edits"))</f>
        <v/>
      </c>
    </row>
    <row r="1998" customFormat="false" ht="15" hidden="false" customHeight="false" outlineLevel="0" collapsed="false">
      <c r="A1998" s="46" t="s">
        <v>2293</v>
      </c>
      <c r="B1998" s="46"/>
      <c r="C1998" s="46"/>
      <c r="D1998" s="46"/>
      <c r="E1998" s="46"/>
      <c r="F1998" s="46"/>
      <c r="G1998" s="46"/>
      <c r="H1998" s="46"/>
      <c r="I1998" s="46"/>
      <c r="J1998" s="46"/>
      <c r="K1998" s="46"/>
      <c r="L1998" s="46"/>
      <c r="M1998" s="46" t="str">
        <f aca="false">IF(OR(B1998="",I1998=""),"",IFERROR(INDEX('Comment flow'!$C$40:$C$46,MATCH(I1998,'Comment flow'!$A$40:$A$46,0)),""))</f>
        <v/>
      </c>
      <c r="N1998" s="46" t="str">
        <f aca="false">IF(B1998="","",IF(OR(I1998="",I1998="Open: needs a decision",L1998=""),"Open","Closed"))</f>
        <v/>
      </c>
      <c r="O1998" s="46"/>
      <c r="P1998" s="46" t="str">
        <f aca="false">IF(OR(B1998="",I1998&lt;&gt;"Save for a later revision"),"",IF(COUNTIF('Deferred edits'!$K$2:$K$201,A1998)&gt;0,"Yes","● Add to Deferred edits"))</f>
        <v/>
      </c>
    </row>
    <row r="1999" customFormat="false" ht="15" hidden="false" customHeight="false" outlineLevel="0" collapsed="false">
      <c r="A1999" s="46" t="s">
        <v>2294</v>
      </c>
      <c r="B1999" s="46"/>
      <c r="C1999" s="46"/>
      <c r="D1999" s="46"/>
      <c r="E1999" s="46"/>
      <c r="F1999" s="46"/>
      <c r="G1999" s="46"/>
      <c r="H1999" s="46"/>
      <c r="I1999" s="46"/>
      <c r="J1999" s="46"/>
      <c r="K1999" s="46"/>
      <c r="L1999" s="46"/>
      <c r="M1999" s="46" t="str">
        <f aca="false">IF(OR(B1999="",I1999=""),"",IFERROR(INDEX('Comment flow'!$C$40:$C$46,MATCH(I1999,'Comment flow'!$A$40:$A$46,0)),""))</f>
        <v/>
      </c>
      <c r="N1999" s="46" t="str">
        <f aca="false">IF(B1999="","",IF(OR(I1999="",I1999="Open: needs a decision",L1999=""),"Open","Closed"))</f>
        <v/>
      </c>
      <c r="O1999" s="46"/>
      <c r="P1999" s="46" t="str">
        <f aca="false">IF(OR(B1999="",I1999&lt;&gt;"Save for a later revision"),"",IF(COUNTIF('Deferred edits'!$K$2:$K$201,A1999)&gt;0,"Yes","● Add to Deferred edits"))</f>
        <v/>
      </c>
    </row>
    <row r="2000" customFormat="false" ht="15" hidden="false" customHeight="false" outlineLevel="0" collapsed="false">
      <c r="A2000" s="46" t="s">
        <v>2295</v>
      </c>
      <c r="B2000" s="46"/>
      <c r="C2000" s="46"/>
      <c r="D2000" s="46"/>
      <c r="E2000" s="46"/>
      <c r="F2000" s="46"/>
      <c r="G2000" s="46"/>
      <c r="H2000" s="46"/>
      <c r="I2000" s="46"/>
      <c r="J2000" s="46"/>
      <c r="K2000" s="46"/>
      <c r="L2000" s="46"/>
      <c r="M2000" s="46" t="str">
        <f aca="false">IF(OR(B2000="",I2000=""),"",IFERROR(INDEX('Comment flow'!$C$40:$C$46,MATCH(I2000,'Comment flow'!$A$40:$A$46,0)),""))</f>
        <v/>
      </c>
      <c r="N2000" s="46" t="str">
        <f aca="false">IF(B2000="","",IF(OR(I2000="",I2000="Open: needs a decision",L2000=""),"Open","Closed"))</f>
        <v/>
      </c>
      <c r="O2000" s="46"/>
      <c r="P2000" s="46" t="str">
        <f aca="false">IF(OR(B2000="",I2000&lt;&gt;"Save for a later revision"),"",IF(COUNTIF('Deferred edits'!$K$2:$K$201,A2000)&gt;0,"Yes","● Add to Deferred edits"))</f>
        <v/>
      </c>
    </row>
    <row r="2001" customFormat="false" ht="15" hidden="false" customHeight="false" outlineLevel="0" collapsed="false">
      <c r="A2001" s="46" t="s">
        <v>2296</v>
      </c>
      <c r="B2001" s="46"/>
      <c r="C2001" s="46"/>
      <c r="D2001" s="46"/>
      <c r="E2001" s="46"/>
      <c r="F2001" s="46"/>
      <c r="G2001" s="46"/>
      <c r="H2001" s="46"/>
      <c r="I2001" s="46"/>
      <c r="J2001" s="46"/>
      <c r="K2001" s="46"/>
      <c r="L2001" s="46"/>
      <c r="M2001" s="46" t="str">
        <f aca="false">IF(OR(B2001="",I2001=""),"",IFERROR(INDEX('Comment flow'!$C$40:$C$46,MATCH(I2001,'Comment flow'!$A$40:$A$46,0)),""))</f>
        <v/>
      </c>
      <c r="N2001" s="46" t="str">
        <f aca="false">IF(B2001="","",IF(OR(I2001="",I2001="Open: needs a decision",L2001=""),"Open","Closed"))</f>
        <v/>
      </c>
      <c r="O2001" s="46"/>
      <c r="P2001" s="46" t="str">
        <f aca="false">IF(OR(B2001="",I2001&lt;&gt;"Save for a later revision"),"",IF(COUNTIF('Deferred edits'!$K$2:$K$201,A2001)&gt;0,"Yes","● Add to Deferred edits"))</f>
        <v/>
      </c>
    </row>
  </sheetData>
  <conditionalFormatting sqref="N2:N2001">
    <cfRule type="expression" priority="2" aboveAverage="0" equalAverage="0" bottom="0" percent="0" rank="0" text="" dxfId="4">
      <formula>N2="Open"</formula>
    </cfRule>
  </conditionalFormatting>
  <conditionalFormatting sqref="P2:P2001">
    <cfRule type="expression" priority="3" aboveAverage="0" equalAverage="0" bottom="0" percent="0" rank="0" text="" dxfId="4">
      <formula>LEFT(P2,1)="●"</formula>
    </cfRule>
  </conditionalFormatting>
  <dataValidations count="4">
    <dataValidation allowBlank="true" errorStyle="stop" operator="between" showDropDown="false" showErrorMessage="false" showInputMessage="false" sqref="D2:D2001" type="list">
      <formula1>Lists!$D$2:$D$4</formula1>
      <formula2>0</formula2>
    </dataValidation>
    <dataValidation allowBlank="true" errorStyle="stop" operator="between" showDropDown="false" showErrorMessage="false" showInputMessage="false" sqref="E2:E2001" type="list">
      <formula1>Lists!$C$2:$C$8</formula1>
      <formula2>0</formula2>
    </dataValidation>
    <dataValidation allowBlank="true" errorStyle="stop" operator="between" showDropDown="false" showErrorMessage="false" showInputMessage="false" sqref="I2:I2001" type="list">
      <formula1>Lists!$B$2:$B$8</formula1>
      <formula2>0</formula2>
    </dataValidation>
    <dataValidation allowBlank="true" error="This code isn't in the Drafts tab. Check the spelling, or click Yes to keep it (for example, a comment on an adopted policy)." errorStyle="warning" errorTitle="Code not in Drafts" operator="between" showDropDown="false" showErrorMessage="true" showInputMessage="false" sqref="B2:B2001" type="list">
      <formula1>Drafts!$A$2:$A$251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5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3" min="2" style="0" width="9"/>
    <col collapsed="false" customWidth="true" hidden="false" outlineLevel="0" max="4" min="4" style="0" width="12"/>
    <col collapsed="false" customWidth="true" hidden="false" outlineLevel="0" max="5" min="5" style="0" width="26"/>
    <col collapsed="false" customWidth="true" hidden="false" outlineLevel="0" max="6" min="6" style="0" width="16"/>
    <col collapsed="false" customWidth="true" hidden="false" outlineLevel="0" max="7" min="7" style="0" width="10"/>
    <col collapsed="false" customWidth="true" hidden="false" outlineLevel="0" max="8" min="8" style="0" width="8"/>
    <col collapsed="false" customWidth="true" hidden="false" outlineLevel="0" max="9" min="9" style="0" width="46"/>
    <col collapsed="false" customWidth="true" hidden="false" outlineLevel="0" max="10" min="10" style="0" width="9"/>
    <col collapsed="false" customWidth="true" hidden="false" outlineLevel="0" max="11" min="11" style="0" width="10"/>
    <col collapsed="false" customWidth="true" hidden="false" outlineLevel="0" max="13" min="12" style="0" width="9"/>
    <col collapsed="false" customWidth="true" hidden="false" outlineLevel="0" max="14" min="14" style="0" width="12"/>
    <col collapsed="false" customWidth="true" hidden="false" outlineLevel="0" max="15" min="15" style="0" width="10"/>
    <col collapsed="false" customWidth="true" hidden="false" outlineLevel="0" max="16" min="16" style="0" width="28"/>
  </cols>
  <sheetData>
    <row r="1" customFormat="false" ht="31.5" hidden="false" customHeight="true" outlineLevel="0" collapsed="false">
      <c r="A1" s="44" t="s">
        <v>2297</v>
      </c>
      <c r="B1" s="44" t="s">
        <v>101</v>
      </c>
      <c r="C1" s="45" t="s">
        <v>2298</v>
      </c>
      <c r="D1" s="44" t="s">
        <v>2299</v>
      </c>
      <c r="E1" s="44" t="s">
        <v>2300</v>
      </c>
      <c r="F1" s="44" t="s">
        <v>2301</v>
      </c>
      <c r="G1" s="44" t="s">
        <v>2302</v>
      </c>
      <c r="H1" s="44" t="s">
        <v>2303</v>
      </c>
      <c r="I1" s="44" t="s">
        <v>2304</v>
      </c>
      <c r="J1" s="44" t="s">
        <v>2305</v>
      </c>
      <c r="K1" s="44" t="s">
        <v>2306</v>
      </c>
      <c r="L1" s="44" t="s">
        <v>2307</v>
      </c>
      <c r="M1" s="45" t="s">
        <v>2308</v>
      </c>
      <c r="N1" s="45" t="s">
        <v>2309</v>
      </c>
      <c r="O1" s="45" t="s">
        <v>2310</v>
      </c>
      <c r="P1" s="44" t="s">
        <v>122</v>
      </c>
    </row>
    <row r="2" customFormat="false" ht="23.85" hidden="false" customHeight="false" outlineLevel="0" collapsed="false">
      <c r="A2" s="46" t="s">
        <v>2311</v>
      </c>
      <c r="B2" s="46" t="s">
        <v>125</v>
      </c>
      <c r="C2" s="49" t="n">
        <f aca="false">IF(OR(B2="",D2=""),0,COUNTIFS($B$2:$B$501,B2,$D$2:$D$501,"&lt;"&amp;D2)+COUNTIFS($B$2:$B$501,B2,$D$2:$D$501,D2,$A$2:$A$501,"&lt;"&amp;A2)+1)</f>
        <v>1</v>
      </c>
      <c r="D2" s="47" t="n">
        <v>46300</v>
      </c>
      <c r="E2" s="46" t="s">
        <v>2312</v>
      </c>
      <c r="F2" s="46" t="s">
        <v>2313</v>
      </c>
      <c r="G2" s="48" t="s">
        <v>2314</v>
      </c>
      <c r="H2" s="46" t="s">
        <v>2315</v>
      </c>
      <c r="I2" s="46" t="s">
        <v>2316</v>
      </c>
      <c r="J2" s="50" t="s">
        <v>2315</v>
      </c>
      <c r="K2" s="50" t="s">
        <v>2315</v>
      </c>
      <c r="L2" s="50" t="s">
        <v>2315</v>
      </c>
      <c r="M2" s="46" t="str">
        <f aca="false">IF(B2="","",IF(H2&lt;&gt;"Yes","No",IF(C2=SUMPRODUCT(MAX(($B$2:$B$501=B2)*($H$2:$H$501="Yes")*$C$2:$C$501)),"Yes","No")))</f>
        <v>Yes</v>
      </c>
      <c r="N2" s="46" t="str">
        <f aca="false">IF(B2="","",IF(H2&lt;&gt;"Yes","Not frozen",IF(AND(J2="Yes",K2="Yes",L2="Yes"),"Complete","Incomplete")))</f>
        <v>Complete</v>
      </c>
      <c r="O2" s="46" t="str">
        <f aca="false">IF(B2="","",IF(OR(F2="Simbli",F2="Shared folder"),"Yes","No"))</f>
        <v>Yes</v>
      </c>
      <c r="P2" s="46" t="s">
        <v>2317</v>
      </c>
    </row>
    <row r="3" customFormat="false" ht="23.85" hidden="false" customHeight="false" outlineLevel="0" collapsed="false">
      <c r="A3" s="50" t="s">
        <v>2318</v>
      </c>
      <c r="B3" s="50" t="s">
        <v>125</v>
      </c>
      <c r="C3" s="51" t="n">
        <f aca="false">IF(OR(B3="",D3=""),0,COUNTIFS($B$2:$B$501,B3,$D$2:$D$501,"&lt;"&amp;D3)+COUNTIFS($B$2:$B$501,B3,$D$2:$D$501,D3,$A$2:$A$501,"&lt;"&amp;A3)+1)</f>
        <v>2</v>
      </c>
      <c r="D3" s="52" t="n">
        <v>46307</v>
      </c>
      <c r="E3" s="50" t="s">
        <v>2319</v>
      </c>
      <c r="F3" s="50" t="s">
        <v>2320</v>
      </c>
      <c r="G3" s="50"/>
      <c r="H3" s="50" t="s">
        <v>2321</v>
      </c>
      <c r="I3" s="50" t="s">
        <v>2322</v>
      </c>
      <c r="J3" s="50"/>
      <c r="K3" s="50"/>
      <c r="L3" s="50"/>
      <c r="M3" s="46" t="str">
        <f aca="false">IF(B3="","",IF(H3&lt;&gt;"Yes","No",IF(C3=SUMPRODUCT(MAX(($B$2:$B$501=B3)*($H$2:$H$501="Yes")*$C$2:$C$501)),"Yes","No")))</f>
        <v>No</v>
      </c>
      <c r="N3" s="46" t="str">
        <f aca="false">IF(B3="","",IF(H3&lt;&gt;"Yes","Not frozen",IF(AND(J3="Yes",K3="Yes",L3="Yes"),"Complete","Incomplete")))</f>
        <v>Not frozen</v>
      </c>
      <c r="O3" s="46" t="str">
        <f aca="false">IF(B3="","",IF(OR(F3="Simbli",F3="Shared folder"),"Yes","No"))</f>
        <v>Yes</v>
      </c>
      <c r="P3" s="50" t="s">
        <v>2323</v>
      </c>
    </row>
    <row r="4" customFormat="false" ht="23.85" hidden="false" customHeight="false" outlineLevel="0" collapsed="false">
      <c r="A4" s="46" t="s">
        <v>2324</v>
      </c>
      <c r="B4" s="46" t="s">
        <v>136</v>
      </c>
      <c r="C4" s="49" t="n">
        <f aca="false">IF(OR(B4="",D4=""),0,COUNTIFS($B$2:$B$501,B4,$D$2:$D$501,"&lt;"&amp;D4)+COUNTIFS($B$2:$B$501,B4,$D$2:$D$501,D4,$A$2:$A$501,"&lt;"&amp;A4)+1)</f>
        <v>1</v>
      </c>
      <c r="D4" s="47" t="n">
        <v>46300</v>
      </c>
      <c r="E4" s="46" t="s">
        <v>2312</v>
      </c>
      <c r="F4" s="46" t="s">
        <v>2313</v>
      </c>
      <c r="G4" s="48" t="s">
        <v>2314</v>
      </c>
      <c r="H4" s="46" t="s">
        <v>2315</v>
      </c>
      <c r="I4" s="46" t="s">
        <v>2316</v>
      </c>
      <c r="J4" s="50" t="s">
        <v>2315</v>
      </c>
      <c r="K4" s="50" t="s">
        <v>2315</v>
      </c>
      <c r="L4" s="50" t="s">
        <v>2315</v>
      </c>
      <c r="M4" s="46" t="str">
        <f aca="false">IF(B4="","",IF(H4&lt;&gt;"Yes","No",IF(C4=SUMPRODUCT(MAX(($B$2:$B$501=B4)*($H$2:$H$501="Yes")*$C$2:$C$501)),"Yes","No")))</f>
        <v>Yes</v>
      </c>
      <c r="N4" s="46" t="str">
        <f aca="false">IF(B4="","",IF(H4&lt;&gt;"Yes","Not frozen",IF(AND(J4="Yes",K4="Yes",L4="Yes"),"Complete","Incomplete")))</f>
        <v>Complete</v>
      </c>
      <c r="O4" s="46" t="str">
        <f aca="false">IF(B4="","",IF(OR(F4="Simbli",F4="Shared folder"),"Yes","No"))</f>
        <v>Yes</v>
      </c>
      <c r="P4" s="46" t="s">
        <v>2317</v>
      </c>
    </row>
    <row r="5" customFormat="false" ht="23.85" hidden="false" customHeight="false" outlineLevel="0" collapsed="false">
      <c r="A5" s="50" t="s">
        <v>2325</v>
      </c>
      <c r="B5" s="50" t="s">
        <v>136</v>
      </c>
      <c r="C5" s="51" t="n">
        <f aca="false">IF(OR(B5="",D5=""),0,COUNTIFS($B$2:$B$501,B5,$D$2:$D$501,"&lt;"&amp;D5)+COUNTIFS($B$2:$B$501,B5,$D$2:$D$501,D5,$A$2:$A$501,"&lt;"&amp;A5)+1)</f>
        <v>2</v>
      </c>
      <c r="D5" s="52" t="n">
        <v>46307</v>
      </c>
      <c r="E5" s="50" t="s">
        <v>2319</v>
      </c>
      <c r="F5" s="50" t="s">
        <v>2320</v>
      </c>
      <c r="G5" s="50"/>
      <c r="H5" s="50" t="s">
        <v>2321</v>
      </c>
      <c r="I5" s="50" t="s">
        <v>2326</v>
      </c>
      <c r="J5" s="50"/>
      <c r="K5" s="50"/>
      <c r="L5" s="50"/>
      <c r="M5" s="46" t="str">
        <f aca="false">IF(B5="","",IF(H5&lt;&gt;"Yes","No",IF(C5=SUMPRODUCT(MAX(($B$2:$B$501=B5)*($H$2:$H$501="Yes")*$C$2:$C$501)),"Yes","No")))</f>
        <v>No</v>
      </c>
      <c r="N5" s="46" t="str">
        <f aca="false">IF(B5="","",IF(H5&lt;&gt;"Yes","Not frozen",IF(AND(J5="Yes",K5="Yes",L5="Yes"),"Complete","Incomplete")))</f>
        <v>Not frozen</v>
      </c>
      <c r="O5" s="46" t="str">
        <f aca="false">IF(B5="","",IF(OR(F5="Simbli",F5="Shared folder"),"Yes","No"))</f>
        <v>Yes</v>
      </c>
      <c r="P5" s="50" t="s">
        <v>2323</v>
      </c>
    </row>
    <row r="6" customFormat="false" ht="23.85" hidden="false" customHeight="false" outlineLevel="0" collapsed="false">
      <c r="A6" s="46" t="s">
        <v>2327</v>
      </c>
      <c r="B6" s="46" t="s">
        <v>70</v>
      </c>
      <c r="C6" s="49" t="n">
        <f aca="false">IF(OR(B6="",D6=""),0,COUNTIFS($B$2:$B$501,B6,$D$2:$D$501,"&lt;"&amp;D6)+COUNTIFS($B$2:$B$501,B6,$D$2:$D$501,D6,$A$2:$A$501,"&lt;"&amp;A6)+1)</f>
        <v>1</v>
      </c>
      <c r="D6" s="47" t="n">
        <v>46300</v>
      </c>
      <c r="E6" s="46" t="s">
        <v>2328</v>
      </c>
      <c r="F6" s="46" t="s">
        <v>2313</v>
      </c>
      <c r="G6" s="48" t="s">
        <v>2314</v>
      </c>
      <c r="H6" s="46" t="s">
        <v>2315</v>
      </c>
      <c r="I6" s="46" t="s">
        <v>2316</v>
      </c>
      <c r="J6" s="50" t="s">
        <v>2315</v>
      </c>
      <c r="K6" s="50" t="s">
        <v>2315</v>
      </c>
      <c r="L6" s="50" t="s">
        <v>2315</v>
      </c>
      <c r="M6" s="46" t="str">
        <f aca="false">IF(B6="","",IF(H6&lt;&gt;"Yes","No",IF(C6=SUMPRODUCT(MAX(($B$2:$B$501=B6)*($H$2:$H$501="Yes")*$C$2:$C$501)),"Yes","No")))</f>
        <v>Yes</v>
      </c>
      <c r="N6" s="46" t="str">
        <f aca="false">IF(B6="","",IF(H6&lt;&gt;"Yes","Not frozen",IF(AND(J6="Yes",K6="Yes",L6="Yes"),"Complete","Incomplete")))</f>
        <v>Complete</v>
      </c>
      <c r="O6" s="46" t="str">
        <f aca="false">IF(B6="","",IF(OR(F6="Simbli",F6="Shared folder"),"Yes","No"))</f>
        <v>Yes</v>
      </c>
      <c r="P6" s="46" t="s">
        <v>2317</v>
      </c>
    </row>
    <row r="7" customFormat="false" ht="35.05" hidden="false" customHeight="false" outlineLevel="0" collapsed="false">
      <c r="A7" s="50" t="s">
        <v>2329</v>
      </c>
      <c r="B7" s="50" t="s">
        <v>70</v>
      </c>
      <c r="C7" s="51" t="n">
        <f aca="false">IF(OR(B7="",D7=""),0,COUNTIFS($B$2:$B$501,B7,$D$2:$D$501,"&lt;"&amp;D7)+COUNTIFS($B$2:$B$501,B7,$D$2:$D$501,D7,$A$2:$A$501,"&lt;"&amp;A7)+1)</f>
        <v>2</v>
      </c>
      <c r="D7" s="52" t="n">
        <v>46307</v>
      </c>
      <c r="E7" s="50" t="s">
        <v>2319</v>
      </c>
      <c r="F7" s="50" t="s">
        <v>2320</v>
      </c>
      <c r="G7" s="50"/>
      <c r="H7" s="50" t="s">
        <v>2321</v>
      </c>
      <c r="I7" s="50" t="s">
        <v>2330</v>
      </c>
      <c r="J7" s="50"/>
      <c r="K7" s="50"/>
      <c r="L7" s="50"/>
      <c r="M7" s="46" t="str">
        <f aca="false">IF(B7="","",IF(H7&lt;&gt;"Yes","No",IF(C7=SUMPRODUCT(MAX(($B$2:$B$501=B7)*($H$2:$H$501="Yes")*$C$2:$C$501)),"Yes","No")))</f>
        <v>No</v>
      </c>
      <c r="N7" s="46" t="str">
        <f aca="false">IF(B7="","",IF(H7&lt;&gt;"Yes","Not frozen",IF(AND(J7="Yes",K7="Yes",L7="Yes"),"Complete","Incomplete")))</f>
        <v>Not frozen</v>
      </c>
      <c r="O7" s="46" t="str">
        <f aca="false">IF(B7="","",IF(OR(F7="Simbli",F7="Shared folder"),"Yes","No"))</f>
        <v>Yes</v>
      </c>
      <c r="P7" s="50" t="s">
        <v>2323</v>
      </c>
    </row>
    <row r="8" customFormat="false" ht="23.85" hidden="false" customHeight="false" outlineLevel="0" collapsed="false">
      <c r="A8" s="46" t="s">
        <v>2331</v>
      </c>
      <c r="B8" s="46" t="s">
        <v>155</v>
      </c>
      <c r="C8" s="49" t="n">
        <f aca="false">IF(OR(B8="",D8=""),0,COUNTIFS($B$2:$B$501,B8,$D$2:$D$501,"&lt;"&amp;D8)+COUNTIFS($B$2:$B$501,B8,$D$2:$D$501,D8,$A$2:$A$501,"&lt;"&amp;A8)+1)</f>
        <v>1</v>
      </c>
      <c r="D8" s="47" t="n">
        <v>46300</v>
      </c>
      <c r="E8" s="46" t="s">
        <v>2332</v>
      </c>
      <c r="F8" s="46" t="s">
        <v>2313</v>
      </c>
      <c r="G8" s="48" t="s">
        <v>2314</v>
      </c>
      <c r="H8" s="46" t="s">
        <v>2315</v>
      </c>
      <c r="I8" s="46" t="s">
        <v>2316</v>
      </c>
      <c r="J8" s="50" t="s">
        <v>2315</v>
      </c>
      <c r="K8" s="50" t="s">
        <v>2315</v>
      </c>
      <c r="L8" s="50" t="s">
        <v>2315</v>
      </c>
      <c r="M8" s="46" t="str">
        <f aca="false">IF(B8="","",IF(H8&lt;&gt;"Yes","No",IF(C8=SUMPRODUCT(MAX(($B$2:$B$501=B8)*($H$2:$H$501="Yes")*$C$2:$C$501)),"Yes","No")))</f>
        <v>Yes</v>
      </c>
      <c r="N8" s="46" t="str">
        <f aca="false">IF(B8="","",IF(H8&lt;&gt;"Yes","Not frozen",IF(AND(J8="Yes",K8="Yes",L8="Yes"),"Complete","Incomplete")))</f>
        <v>Complete</v>
      </c>
      <c r="O8" s="46" t="str">
        <f aca="false">IF(B8="","",IF(OR(F8="Simbli",F8="Shared folder"),"Yes","No"))</f>
        <v>Yes</v>
      </c>
      <c r="P8" s="46" t="s">
        <v>2317</v>
      </c>
    </row>
    <row r="9" customFormat="false" ht="23.85" hidden="false" customHeight="false" outlineLevel="0" collapsed="false">
      <c r="A9" s="46" t="s">
        <v>2333</v>
      </c>
      <c r="B9" s="46" t="s">
        <v>163</v>
      </c>
      <c r="C9" s="49" t="n">
        <f aca="false">IF(OR(B9="",D9=""),0,COUNTIFS($B$2:$B$501,B9,$D$2:$D$501,"&lt;"&amp;D9)+COUNTIFS($B$2:$B$501,B9,$D$2:$D$501,D9,$A$2:$A$501,"&lt;"&amp;A9)+1)</f>
        <v>1</v>
      </c>
      <c r="D9" s="47" t="n">
        <v>46300</v>
      </c>
      <c r="E9" s="46" t="s">
        <v>2328</v>
      </c>
      <c r="F9" s="46" t="s">
        <v>2313</v>
      </c>
      <c r="G9" s="48" t="s">
        <v>2314</v>
      </c>
      <c r="H9" s="46" t="s">
        <v>2315</v>
      </c>
      <c r="I9" s="46" t="s">
        <v>2316</v>
      </c>
      <c r="J9" s="50" t="s">
        <v>2315</v>
      </c>
      <c r="K9" s="50" t="s">
        <v>2315</v>
      </c>
      <c r="L9" s="50" t="s">
        <v>2315</v>
      </c>
      <c r="M9" s="46" t="str">
        <f aca="false">IF(B9="","",IF(H9&lt;&gt;"Yes","No",IF(C9=SUMPRODUCT(MAX(($B$2:$B$501=B9)*($H$2:$H$501="Yes")*$C$2:$C$501)),"Yes","No")))</f>
        <v>Yes</v>
      </c>
      <c r="N9" s="46" t="str">
        <f aca="false">IF(B9="","",IF(H9&lt;&gt;"Yes","Not frozen",IF(AND(J9="Yes",K9="Yes",L9="Yes"),"Complete","Incomplete")))</f>
        <v>Complete</v>
      </c>
      <c r="O9" s="46" t="str">
        <f aca="false">IF(B9="","",IF(OR(F9="Simbli",F9="Shared folder"),"Yes","No"))</f>
        <v>Yes</v>
      </c>
      <c r="P9" s="46" t="s">
        <v>2317</v>
      </c>
    </row>
    <row r="10" customFormat="false" ht="23.85" hidden="false" customHeight="false" outlineLevel="0" collapsed="false">
      <c r="A10" s="50" t="s">
        <v>2334</v>
      </c>
      <c r="B10" s="50" t="s">
        <v>163</v>
      </c>
      <c r="C10" s="51" t="n">
        <f aca="false">IF(OR(B10="",D10=""),0,COUNTIFS($B$2:$B$501,B10,$D$2:$D$501,"&lt;"&amp;D10)+COUNTIFS($B$2:$B$501,B10,$D$2:$D$501,D10,$A$2:$A$501,"&lt;"&amp;A10)+1)</f>
        <v>2</v>
      </c>
      <c r="D10" s="52" t="n">
        <v>46307</v>
      </c>
      <c r="E10" s="50" t="s">
        <v>2319</v>
      </c>
      <c r="F10" s="50" t="s">
        <v>2320</v>
      </c>
      <c r="G10" s="50"/>
      <c r="H10" s="50" t="s">
        <v>2321</v>
      </c>
      <c r="I10" s="50" t="s">
        <v>2335</v>
      </c>
      <c r="J10" s="50"/>
      <c r="K10" s="50"/>
      <c r="L10" s="50"/>
      <c r="M10" s="46" t="str">
        <f aca="false">IF(B10="","",IF(H10&lt;&gt;"Yes","No",IF(C10=SUMPRODUCT(MAX(($B$2:$B$501=B10)*($H$2:$H$501="Yes")*$C$2:$C$501)),"Yes","No")))</f>
        <v>No</v>
      </c>
      <c r="N10" s="46" t="str">
        <f aca="false">IF(B10="","",IF(H10&lt;&gt;"Yes","Not frozen",IF(AND(J10="Yes",K10="Yes",L10="Yes"),"Complete","Incomplete")))</f>
        <v>Not frozen</v>
      </c>
      <c r="O10" s="46" t="str">
        <f aca="false">IF(B10="","",IF(OR(F10="Simbli",F10="Shared folder"),"Yes","No"))</f>
        <v>Yes</v>
      </c>
      <c r="P10" s="50" t="s">
        <v>2323</v>
      </c>
    </row>
    <row r="11" customFormat="false" ht="23.85" hidden="false" customHeight="false" outlineLevel="0" collapsed="false">
      <c r="A11" s="46" t="s">
        <v>2336</v>
      </c>
      <c r="B11" s="46" t="s">
        <v>173</v>
      </c>
      <c r="C11" s="49" t="n">
        <f aca="false">IF(OR(B11="",D11=""),0,COUNTIFS($B$2:$B$501,B11,$D$2:$D$501,"&lt;"&amp;D11)+COUNTIFS($B$2:$B$501,B11,$D$2:$D$501,D11,$A$2:$A$501,"&lt;"&amp;A11)+1)</f>
        <v>1</v>
      </c>
      <c r="D11" s="47" t="n">
        <v>46300</v>
      </c>
      <c r="E11" s="46" t="s">
        <v>2328</v>
      </c>
      <c r="F11" s="46" t="s">
        <v>2313</v>
      </c>
      <c r="G11" s="48" t="s">
        <v>2314</v>
      </c>
      <c r="H11" s="46" t="s">
        <v>2315</v>
      </c>
      <c r="I11" s="46" t="s">
        <v>2316</v>
      </c>
      <c r="J11" s="50" t="s">
        <v>2315</v>
      </c>
      <c r="K11" s="50" t="s">
        <v>2315</v>
      </c>
      <c r="L11" s="50" t="s">
        <v>2315</v>
      </c>
      <c r="M11" s="46" t="str">
        <f aca="false">IF(B11="","",IF(H11&lt;&gt;"Yes","No",IF(C11=SUMPRODUCT(MAX(($B$2:$B$501=B11)*($H$2:$H$501="Yes")*$C$2:$C$501)),"Yes","No")))</f>
        <v>Yes</v>
      </c>
      <c r="N11" s="46" t="str">
        <f aca="false">IF(B11="","",IF(H11&lt;&gt;"Yes","Not frozen",IF(AND(J11="Yes",K11="Yes",L11="Yes"),"Complete","Incomplete")))</f>
        <v>Complete</v>
      </c>
      <c r="O11" s="46" t="str">
        <f aca="false">IF(B11="","",IF(OR(F11="Simbli",F11="Shared folder"),"Yes","No"))</f>
        <v>Yes</v>
      </c>
      <c r="P11" s="46" t="s">
        <v>2317</v>
      </c>
    </row>
    <row r="12" customFormat="false" ht="23.85" hidden="false" customHeight="false" outlineLevel="0" collapsed="false">
      <c r="A12" s="50" t="s">
        <v>2337</v>
      </c>
      <c r="B12" s="50" t="s">
        <v>173</v>
      </c>
      <c r="C12" s="51" t="n">
        <f aca="false">IF(OR(B12="",D12=""),0,COUNTIFS($B$2:$B$501,B12,$D$2:$D$501,"&lt;"&amp;D12)+COUNTIFS($B$2:$B$501,B12,$D$2:$D$501,D12,$A$2:$A$501,"&lt;"&amp;A12)+1)</f>
        <v>2</v>
      </c>
      <c r="D12" s="52" t="n">
        <v>46307</v>
      </c>
      <c r="E12" s="50" t="s">
        <v>2319</v>
      </c>
      <c r="F12" s="50" t="s">
        <v>2320</v>
      </c>
      <c r="G12" s="50"/>
      <c r="H12" s="50" t="s">
        <v>2321</v>
      </c>
      <c r="I12" s="50" t="s">
        <v>2338</v>
      </c>
      <c r="J12" s="50"/>
      <c r="K12" s="50"/>
      <c r="L12" s="50"/>
      <c r="M12" s="46" t="str">
        <f aca="false">IF(B12="","",IF(H12&lt;&gt;"Yes","No",IF(C12=SUMPRODUCT(MAX(($B$2:$B$501=B12)*($H$2:$H$501="Yes")*$C$2:$C$501)),"Yes","No")))</f>
        <v>No</v>
      </c>
      <c r="N12" s="46" t="str">
        <f aca="false">IF(B12="","",IF(H12&lt;&gt;"Yes","Not frozen",IF(AND(J12="Yes",K12="Yes",L12="Yes"),"Complete","Incomplete")))</f>
        <v>Not frozen</v>
      </c>
      <c r="O12" s="46" t="str">
        <f aca="false">IF(B12="","",IF(OR(F12="Simbli",F12="Shared folder"),"Yes","No"))</f>
        <v>Yes</v>
      </c>
      <c r="P12" s="50" t="s">
        <v>2323</v>
      </c>
    </row>
    <row r="13" customFormat="false" ht="15" hidden="false" customHeight="false" outlineLevel="0" collapsed="false">
      <c r="A13" s="46" t="s">
        <v>2339</v>
      </c>
      <c r="B13" s="46"/>
      <c r="C13" s="49" t="n">
        <f aca="false">IF(OR(B13="",D13=""),0,COUNTIFS($B$2:$B$501,B13,$D$2:$D$501,"&lt;"&amp;D13)+COUNTIFS($B$2:$B$501,B13,$D$2:$D$501,D13,$A$2:$A$501,"&lt;"&amp;A13)+1)</f>
        <v>0</v>
      </c>
      <c r="D13" s="46"/>
      <c r="E13" s="46"/>
      <c r="F13" s="46"/>
      <c r="G13" s="46"/>
      <c r="H13" s="46"/>
      <c r="I13" s="46"/>
      <c r="J13" s="46"/>
      <c r="K13" s="46"/>
      <c r="L13" s="46"/>
      <c r="M13" s="46" t="str">
        <f aca="false">IF(B13="","",IF(H13&lt;&gt;"Yes","No",IF(C13=SUMPRODUCT(MAX(($B$2:$B$501=B13)*($H$2:$H$501="Yes")*$C$2:$C$501)),"Yes","No")))</f>
        <v/>
      </c>
      <c r="N13" s="46" t="str">
        <f aca="false">IF(B13="","",IF(H13&lt;&gt;"Yes","Not frozen",IF(AND(J13="Yes",K13="Yes",L13="Yes"),"Complete","Incomplete")))</f>
        <v/>
      </c>
      <c r="O13" s="46" t="str">
        <f aca="false">IF(B13="","",IF(OR(F13="Simbli",F13="Shared folder"),"Yes","No"))</f>
        <v/>
      </c>
      <c r="P13" s="46"/>
    </row>
    <row r="14" customFormat="false" ht="15" hidden="false" customHeight="false" outlineLevel="0" collapsed="false">
      <c r="A14" s="46" t="s">
        <v>2340</v>
      </c>
      <c r="B14" s="46"/>
      <c r="C14" s="49" t="n">
        <f aca="false">IF(OR(B14="",D14=""),0,COUNTIFS($B$2:$B$501,B14,$D$2:$D$501,"&lt;"&amp;D14)+COUNTIFS($B$2:$B$501,B14,$D$2:$D$501,D14,$A$2:$A$501,"&lt;"&amp;A14)+1)</f>
        <v>0</v>
      </c>
      <c r="D14" s="46"/>
      <c r="E14" s="46"/>
      <c r="F14" s="46"/>
      <c r="G14" s="46"/>
      <c r="H14" s="46"/>
      <c r="I14" s="46"/>
      <c r="J14" s="46"/>
      <c r="K14" s="46"/>
      <c r="L14" s="46"/>
      <c r="M14" s="46" t="str">
        <f aca="false">IF(B14="","",IF(H14&lt;&gt;"Yes","No",IF(C14=SUMPRODUCT(MAX(($B$2:$B$501=B14)*($H$2:$H$501="Yes")*$C$2:$C$501)),"Yes","No")))</f>
        <v/>
      </c>
      <c r="N14" s="46" t="str">
        <f aca="false">IF(B14="","",IF(H14&lt;&gt;"Yes","Not frozen",IF(AND(J14="Yes",K14="Yes",L14="Yes"),"Complete","Incomplete")))</f>
        <v/>
      </c>
      <c r="O14" s="46" t="str">
        <f aca="false">IF(B14="","",IF(OR(F14="Simbli",F14="Shared folder"),"Yes","No"))</f>
        <v/>
      </c>
      <c r="P14" s="46"/>
    </row>
    <row r="15" customFormat="false" ht="15" hidden="false" customHeight="false" outlineLevel="0" collapsed="false">
      <c r="A15" s="46" t="s">
        <v>2341</v>
      </c>
      <c r="B15" s="46"/>
      <c r="C15" s="49" t="n">
        <f aca="false">IF(OR(B15="",D15=""),0,COUNTIFS($B$2:$B$501,B15,$D$2:$D$501,"&lt;"&amp;D15)+COUNTIFS($B$2:$B$501,B15,$D$2:$D$501,D15,$A$2:$A$501,"&lt;"&amp;A15)+1)</f>
        <v>0</v>
      </c>
      <c r="D15" s="46"/>
      <c r="E15" s="46"/>
      <c r="F15" s="46"/>
      <c r="G15" s="46"/>
      <c r="H15" s="46"/>
      <c r="I15" s="46"/>
      <c r="J15" s="46"/>
      <c r="K15" s="46"/>
      <c r="L15" s="46"/>
      <c r="M15" s="46" t="str">
        <f aca="false">IF(B15="","",IF(H15&lt;&gt;"Yes","No",IF(C15=SUMPRODUCT(MAX(($B$2:$B$501=B15)*($H$2:$H$501="Yes")*$C$2:$C$501)),"Yes","No")))</f>
        <v/>
      </c>
      <c r="N15" s="46" t="str">
        <f aca="false">IF(B15="","",IF(H15&lt;&gt;"Yes","Not frozen",IF(AND(J15="Yes",K15="Yes",L15="Yes"),"Complete","Incomplete")))</f>
        <v/>
      </c>
      <c r="O15" s="46" t="str">
        <f aca="false">IF(B15="","",IF(OR(F15="Simbli",F15="Shared folder"),"Yes","No"))</f>
        <v/>
      </c>
      <c r="P15" s="46"/>
    </row>
    <row r="16" customFormat="false" ht="15" hidden="false" customHeight="false" outlineLevel="0" collapsed="false">
      <c r="A16" s="46" t="s">
        <v>2342</v>
      </c>
      <c r="B16" s="46"/>
      <c r="C16" s="49" t="n">
        <f aca="false">IF(OR(B16="",D16=""),0,COUNTIFS($B$2:$B$501,B16,$D$2:$D$501,"&lt;"&amp;D16)+COUNTIFS($B$2:$B$501,B16,$D$2:$D$501,D16,$A$2:$A$501,"&lt;"&amp;A16)+1)</f>
        <v>0</v>
      </c>
      <c r="D16" s="46"/>
      <c r="E16" s="46"/>
      <c r="F16" s="46"/>
      <c r="G16" s="46"/>
      <c r="H16" s="46"/>
      <c r="I16" s="46"/>
      <c r="J16" s="46"/>
      <c r="K16" s="46"/>
      <c r="L16" s="46"/>
      <c r="M16" s="46" t="str">
        <f aca="false">IF(B16="","",IF(H16&lt;&gt;"Yes","No",IF(C16=SUMPRODUCT(MAX(($B$2:$B$501=B16)*($H$2:$H$501="Yes")*$C$2:$C$501)),"Yes","No")))</f>
        <v/>
      </c>
      <c r="N16" s="46" t="str">
        <f aca="false">IF(B16="","",IF(H16&lt;&gt;"Yes","Not frozen",IF(AND(J16="Yes",K16="Yes",L16="Yes"),"Complete","Incomplete")))</f>
        <v/>
      </c>
      <c r="O16" s="46" t="str">
        <f aca="false">IF(B16="","",IF(OR(F16="Simbli",F16="Shared folder"),"Yes","No"))</f>
        <v/>
      </c>
      <c r="P16" s="46"/>
    </row>
    <row r="17" customFormat="false" ht="15" hidden="false" customHeight="false" outlineLevel="0" collapsed="false">
      <c r="A17" s="46" t="s">
        <v>2343</v>
      </c>
      <c r="B17" s="46"/>
      <c r="C17" s="49" t="n">
        <f aca="false">IF(OR(B17="",D17=""),0,COUNTIFS($B$2:$B$501,B17,$D$2:$D$501,"&lt;"&amp;D17)+COUNTIFS($B$2:$B$501,B17,$D$2:$D$501,D17,$A$2:$A$501,"&lt;"&amp;A17)+1)</f>
        <v>0</v>
      </c>
      <c r="D17" s="46"/>
      <c r="E17" s="46"/>
      <c r="F17" s="46"/>
      <c r="G17" s="46"/>
      <c r="H17" s="46"/>
      <c r="I17" s="46"/>
      <c r="J17" s="46"/>
      <c r="K17" s="46"/>
      <c r="L17" s="46"/>
      <c r="M17" s="46" t="str">
        <f aca="false">IF(B17="","",IF(H17&lt;&gt;"Yes","No",IF(C17=SUMPRODUCT(MAX(($B$2:$B$501=B17)*($H$2:$H$501="Yes")*$C$2:$C$501)),"Yes","No")))</f>
        <v/>
      </c>
      <c r="N17" s="46" t="str">
        <f aca="false">IF(B17="","",IF(H17&lt;&gt;"Yes","Not frozen",IF(AND(J17="Yes",K17="Yes",L17="Yes"),"Complete","Incomplete")))</f>
        <v/>
      </c>
      <c r="O17" s="46" t="str">
        <f aca="false">IF(B17="","",IF(OR(F17="Simbli",F17="Shared folder"),"Yes","No"))</f>
        <v/>
      </c>
      <c r="P17" s="46"/>
    </row>
    <row r="18" customFormat="false" ht="15" hidden="false" customHeight="false" outlineLevel="0" collapsed="false">
      <c r="A18" s="46" t="s">
        <v>2344</v>
      </c>
      <c r="B18" s="46"/>
      <c r="C18" s="49" t="n">
        <f aca="false">IF(OR(B18="",D18=""),0,COUNTIFS($B$2:$B$501,B18,$D$2:$D$501,"&lt;"&amp;D18)+COUNTIFS($B$2:$B$501,B18,$D$2:$D$501,D18,$A$2:$A$501,"&lt;"&amp;A18)+1)</f>
        <v>0</v>
      </c>
      <c r="D18" s="46"/>
      <c r="E18" s="46"/>
      <c r="F18" s="46"/>
      <c r="G18" s="46"/>
      <c r="H18" s="46"/>
      <c r="I18" s="46"/>
      <c r="J18" s="46"/>
      <c r="K18" s="46"/>
      <c r="L18" s="46"/>
      <c r="M18" s="46" t="str">
        <f aca="false">IF(B18="","",IF(H18&lt;&gt;"Yes","No",IF(C18=SUMPRODUCT(MAX(($B$2:$B$501=B18)*($H$2:$H$501="Yes")*$C$2:$C$501)),"Yes","No")))</f>
        <v/>
      </c>
      <c r="N18" s="46" t="str">
        <f aca="false">IF(B18="","",IF(H18&lt;&gt;"Yes","Not frozen",IF(AND(J18="Yes",K18="Yes",L18="Yes"),"Complete","Incomplete")))</f>
        <v/>
      </c>
      <c r="O18" s="46" t="str">
        <f aca="false">IF(B18="","",IF(OR(F18="Simbli",F18="Shared folder"),"Yes","No"))</f>
        <v/>
      </c>
      <c r="P18" s="46"/>
    </row>
    <row r="19" customFormat="false" ht="15" hidden="false" customHeight="false" outlineLevel="0" collapsed="false">
      <c r="A19" s="46" t="s">
        <v>2345</v>
      </c>
      <c r="B19" s="46"/>
      <c r="C19" s="49" t="n">
        <f aca="false">IF(OR(B19="",D19=""),0,COUNTIFS($B$2:$B$501,B19,$D$2:$D$501,"&lt;"&amp;D19)+COUNTIFS($B$2:$B$501,B19,$D$2:$D$501,D19,$A$2:$A$501,"&lt;"&amp;A19)+1)</f>
        <v>0</v>
      </c>
      <c r="D19" s="46"/>
      <c r="E19" s="46"/>
      <c r="F19" s="46"/>
      <c r="G19" s="46"/>
      <c r="H19" s="46"/>
      <c r="I19" s="46"/>
      <c r="J19" s="46"/>
      <c r="K19" s="46"/>
      <c r="L19" s="46"/>
      <c r="M19" s="46" t="str">
        <f aca="false">IF(B19="","",IF(H19&lt;&gt;"Yes","No",IF(C19=SUMPRODUCT(MAX(($B$2:$B$501=B19)*($H$2:$H$501="Yes")*$C$2:$C$501)),"Yes","No")))</f>
        <v/>
      </c>
      <c r="N19" s="46" t="str">
        <f aca="false">IF(B19="","",IF(H19&lt;&gt;"Yes","Not frozen",IF(AND(J19="Yes",K19="Yes",L19="Yes"),"Complete","Incomplete")))</f>
        <v/>
      </c>
      <c r="O19" s="46" t="str">
        <f aca="false">IF(B19="","",IF(OR(F19="Simbli",F19="Shared folder"),"Yes","No"))</f>
        <v/>
      </c>
      <c r="P19" s="46"/>
    </row>
    <row r="20" customFormat="false" ht="15" hidden="false" customHeight="false" outlineLevel="0" collapsed="false">
      <c r="A20" s="46" t="s">
        <v>2346</v>
      </c>
      <c r="B20" s="46"/>
      <c r="C20" s="49" t="n">
        <f aca="false">IF(OR(B20="",D20=""),0,COUNTIFS($B$2:$B$501,B20,$D$2:$D$501,"&lt;"&amp;D20)+COUNTIFS($B$2:$B$501,B20,$D$2:$D$501,D20,$A$2:$A$501,"&lt;"&amp;A20)+1)</f>
        <v>0</v>
      </c>
      <c r="D20" s="46"/>
      <c r="E20" s="46"/>
      <c r="F20" s="46"/>
      <c r="G20" s="46"/>
      <c r="H20" s="46"/>
      <c r="I20" s="46"/>
      <c r="J20" s="46"/>
      <c r="K20" s="46"/>
      <c r="L20" s="46"/>
      <c r="M20" s="46" t="str">
        <f aca="false">IF(B20="","",IF(H20&lt;&gt;"Yes","No",IF(C20=SUMPRODUCT(MAX(($B$2:$B$501=B20)*($H$2:$H$501="Yes")*$C$2:$C$501)),"Yes","No")))</f>
        <v/>
      </c>
      <c r="N20" s="46" t="str">
        <f aca="false">IF(B20="","",IF(H20&lt;&gt;"Yes","Not frozen",IF(AND(J20="Yes",K20="Yes",L20="Yes"),"Complete","Incomplete")))</f>
        <v/>
      </c>
      <c r="O20" s="46" t="str">
        <f aca="false">IF(B20="","",IF(OR(F20="Simbli",F20="Shared folder"),"Yes","No"))</f>
        <v/>
      </c>
      <c r="P20" s="46"/>
    </row>
    <row r="21" customFormat="false" ht="15" hidden="false" customHeight="false" outlineLevel="0" collapsed="false">
      <c r="A21" s="46" t="s">
        <v>2347</v>
      </c>
      <c r="B21" s="46"/>
      <c r="C21" s="49" t="n">
        <f aca="false">IF(OR(B21="",D21=""),0,COUNTIFS($B$2:$B$501,B21,$D$2:$D$501,"&lt;"&amp;D21)+COUNTIFS($B$2:$B$501,B21,$D$2:$D$501,D21,$A$2:$A$501,"&lt;"&amp;A21)+1)</f>
        <v>0</v>
      </c>
      <c r="D21" s="46"/>
      <c r="E21" s="46"/>
      <c r="F21" s="46"/>
      <c r="G21" s="46"/>
      <c r="H21" s="46"/>
      <c r="I21" s="46"/>
      <c r="J21" s="46"/>
      <c r="K21" s="46"/>
      <c r="L21" s="46"/>
      <c r="M21" s="46" t="str">
        <f aca="false">IF(B21="","",IF(H21&lt;&gt;"Yes","No",IF(C21=SUMPRODUCT(MAX(($B$2:$B$501=B21)*($H$2:$H$501="Yes")*$C$2:$C$501)),"Yes","No")))</f>
        <v/>
      </c>
      <c r="N21" s="46" t="str">
        <f aca="false">IF(B21="","",IF(H21&lt;&gt;"Yes","Not frozen",IF(AND(J21="Yes",K21="Yes",L21="Yes"),"Complete","Incomplete")))</f>
        <v/>
      </c>
      <c r="O21" s="46" t="str">
        <f aca="false">IF(B21="","",IF(OR(F21="Simbli",F21="Shared folder"),"Yes","No"))</f>
        <v/>
      </c>
      <c r="P21" s="46"/>
    </row>
    <row r="22" customFormat="false" ht="15" hidden="false" customHeight="false" outlineLevel="0" collapsed="false">
      <c r="A22" s="46" t="s">
        <v>2348</v>
      </c>
      <c r="B22" s="46"/>
      <c r="C22" s="49" t="n">
        <f aca="false">IF(OR(B22="",D22=""),0,COUNTIFS($B$2:$B$501,B22,$D$2:$D$501,"&lt;"&amp;D22)+COUNTIFS($B$2:$B$501,B22,$D$2:$D$501,D22,$A$2:$A$501,"&lt;"&amp;A22)+1)</f>
        <v>0</v>
      </c>
      <c r="D22" s="46"/>
      <c r="E22" s="46"/>
      <c r="F22" s="46"/>
      <c r="G22" s="46"/>
      <c r="H22" s="46"/>
      <c r="I22" s="46"/>
      <c r="J22" s="46"/>
      <c r="K22" s="46"/>
      <c r="L22" s="46"/>
      <c r="M22" s="46" t="str">
        <f aca="false">IF(B22="","",IF(H22&lt;&gt;"Yes","No",IF(C22=SUMPRODUCT(MAX(($B$2:$B$501=B22)*($H$2:$H$501="Yes")*$C$2:$C$501)),"Yes","No")))</f>
        <v/>
      </c>
      <c r="N22" s="46" t="str">
        <f aca="false">IF(B22="","",IF(H22&lt;&gt;"Yes","Not frozen",IF(AND(J22="Yes",K22="Yes",L22="Yes"),"Complete","Incomplete")))</f>
        <v/>
      </c>
      <c r="O22" s="46" t="str">
        <f aca="false">IF(B22="","",IF(OR(F22="Simbli",F22="Shared folder"),"Yes","No"))</f>
        <v/>
      </c>
      <c r="P22" s="46"/>
    </row>
    <row r="23" customFormat="false" ht="15" hidden="false" customHeight="false" outlineLevel="0" collapsed="false">
      <c r="A23" s="46" t="s">
        <v>2349</v>
      </c>
      <c r="B23" s="46"/>
      <c r="C23" s="49" t="n">
        <f aca="false">IF(OR(B23="",D23=""),0,COUNTIFS($B$2:$B$501,B23,$D$2:$D$501,"&lt;"&amp;D23)+COUNTIFS($B$2:$B$501,B23,$D$2:$D$501,D23,$A$2:$A$501,"&lt;"&amp;A23)+1)</f>
        <v>0</v>
      </c>
      <c r="D23" s="46"/>
      <c r="E23" s="46"/>
      <c r="F23" s="46"/>
      <c r="G23" s="46"/>
      <c r="H23" s="46"/>
      <c r="I23" s="46"/>
      <c r="J23" s="46"/>
      <c r="K23" s="46"/>
      <c r="L23" s="46"/>
      <c r="M23" s="46" t="str">
        <f aca="false">IF(B23="","",IF(H23&lt;&gt;"Yes","No",IF(C23=SUMPRODUCT(MAX(($B$2:$B$501=B23)*($H$2:$H$501="Yes")*$C$2:$C$501)),"Yes","No")))</f>
        <v/>
      </c>
      <c r="N23" s="46" t="str">
        <f aca="false">IF(B23="","",IF(H23&lt;&gt;"Yes","Not frozen",IF(AND(J23="Yes",K23="Yes",L23="Yes"),"Complete","Incomplete")))</f>
        <v/>
      </c>
      <c r="O23" s="46" t="str">
        <f aca="false">IF(B23="","",IF(OR(F23="Simbli",F23="Shared folder"),"Yes","No"))</f>
        <v/>
      </c>
      <c r="P23" s="46"/>
    </row>
    <row r="24" customFormat="false" ht="15" hidden="false" customHeight="false" outlineLevel="0" collapsed="false">
      <c r="A24" s="46" t="s">
        <v>2350</v>
      </c>
      <c r="B24" s="46"/>
      <c r="C24" s="49" t="n">
        <f aca="false">IF(OR(B24="",D24=""),0,COUNTIFS($B$2:$B$501,B24,$D$2:$D$501,"&lt;"&amp;D24)+COUNTIFS($B$2:$B$501,B24,$D$2:$D$501,D24,$A$2:$A$501,"&lt;"&amp;A24)+1)</f>
        <v>0</v>
      </c>
      <c r="D24" s="46"/>
      <c r="E24" s="46"/>
      <c r="F24" s="46"/>
      <c r="G24" s="46"/>
      <c r="H24" s="46"/>
      <c r="I24" s="46"/>
      <c r="J24" s="46"/>
      <c r="K24" s="46"/>
      <c r="L24" s="46"/>
      <c r="M24" s="46" t="str">
        <f aca="false">IF(B24="","",IF(H24&lt;&gt;"Yes","No",IF(C24=SUMPRODUCT(MAX(($B$2:$B$501=B24)*($H$2:$H$501="Yes")*$C$2:$C$501)),"Yes","No")))</f>
        <v/>
      </c>
      <c r="N24" s="46" t="str">
        <f aca="false">IF(B24="","",IF(H24&lt;&gt;"Yes","Not frozen",IF(AND(J24="Yes",K24="Yes",L24="Yes"),"Complete","Incomplete")))</f>
        <v/>
      </c>
      <c r="O24" s="46" t="str">
        <f aca="false">IF(B24="","",IF(OR(F24="Simbli",F24="Shared folder"),"Yes","No"))</f>
        <v/>
      </c>
      <c r="P24" s="46"/>
    </row>
    <row r="25" customFormat="false" ht="15" hidden="false" customHeight="false" outlineLevel="0" collapsed="false">
      <c r="A25" s="46" t="s">
        <v>2351</v>
      </c>
      <c r="B25" s="46"/>
      <c r="C25" s="49" t="n">
        <f aca="false">IF(OR(B25="",D25=""),0,COUNTIFS($B$2:$B$501,B25,$D$2:$D$501,"&lt;"&amp;D25)+COUNTIFS($B$2:$B$501,B25,$D$2:$D$501,D25,$A$2:$A$501,"&lt;"&amp;A25)+1)</f>
        <v>0</v>
      </c>
      <c r="D25" s="46"/>
      <c r="E25" s="46"/>
      <c r="F25" s="46"/>
      <c r="G25" s="46"/>
      <c r="H25" s="46"/>
      <c r="I25" s="46"/>
      <c r="J25" s="46"/>
      <c r="K25" s="46"/>
      <c r="L25" s="46"/>
      <c r="M25" s="46" t="str">
        <f aca="false">IF(B25="","",IF(H25&lt;&gt;"Yes","No",IF(C25=SUMPRODUCT(MAX(($B$2:$B$501=B25)*($H$2:$H$501="Yes")*$C$2:$C$501)),"Yes","No")))</f>
        <v/>
      </c>
      <c r="N25" s="46" t="str">
        <f aca="false">IF(B25="","",IF(H25&lt;&gt;"Yes","Not frozen",IF(AND(J25="Yes",K25="Yes",L25="Yes"),"Complete","Incomplete")))</f>
        <v/>
      </c>
      <c r="O25" s="46" t="str">
        <f aca="false">IF(B25="","",IF(OR(F25="Simbli",F25="Shared folder"),"Yes","No"))</f>
        <v/>
      </c>
      <c r="P25" s="46"/>
    </row>
    <row r="26" customFormat="false" ht="15" hidden="false" customHeight="false" outlineLevel="0" collapsed="false">
      <c r="A26" s="46" t="s">
        <v>2352</v>
      </c>
      <c r="B26" s="46"/>
      <c r="C26" s="49" t="n">
        <f aca="false">IF(OR(B26="",D26=""),0,COUNTIFS($B$2:$B$501,B26,$D$2:$D$501,"&lt;"&amp;D26)+COUNTIFS($B$2:$B$501,B26,$D$2:$D$501,D26,$A$2:$A$501,"&lt;"&amp;A26)+1)</f>
        <v>0</v>
      </c>
      <c r="D26" s="46"/>
      <c r="E26" s="46"/>
      <c r="F26" s="46"/>
      <c r="G26" s="46"/>
      <c r="H26" s="46"/>
      <c r="I26" s="46"/>
      <c r="J26" s="46"/>
      <c r="K26" s="46"/>
      <c r="L26" s="46"/>
      <c r="M26" s="46" t="str">
        <f aca="false">IF(B26="","",IF(H26&lt;&gt;"Yes","No",IF(C26=SUMPRODUCT(MAX(($B$2:$B$501=B26)*($H$2:$H$501="Yes")*$C$2:$C$501)),"Yes","No")))</f>
        <v/>
      </c>
      <c r="N26" s="46" t="str">
        <f aca="false">IF(B26="","",IF(H26&lt;&gt;"Yes","Not frozen",IF(AND(J26="Yes",K26="Yes",L26="Yes"),"Complete","Incomplete")))</f>
        <v/>
      </c>
      <c r="O26" s="46" t="str">
        <f aca="false">IF(B26="","",IF(OR(F26="Simbli",F26="Shared folder"),"Yes","No"))</f>
        <v/>
      </c>
      <c r="P26" s="46"/>
    </row>
    <row r="27" customFormat="false" ht="15" hidden="false" customHeight="false" outlineLevel="0" collapsed="false">
      <c r="A27" s="46" t="s">
        <v>2353</v>
      </c>
      <c r="B27" s="46"/>
      <c r="C27" s="49" t="n">
        <f aca="false">IF(OR(B27="",D27=""),0,COUNTIFS($B$2:$B$501,B27,$D$2:$D$501,"&lt;"&amp;D27)+COUNTIFS($B$2:$B$501,B27,$D$2:$D$501,D27,$A$2:$A$501,"&lt;"&amp;A27)+1)</f>
        <v>0</v>
      </c>
      <c r="D27" s="46"/>
      <c r="E27" s="46"/>
      <c r="F27" s="46"/>
      <c r="G27" s="46"/>
      <c r="H27" s="46"/>
      <c r="I27" s="46"/>
      <c r="J27" s="46"/>
      <c r="K27" s="46"/>
      <c r="L27" s="46"/>
      <c r="M27" s="46" t="str">
        <f aca="false">IF(B27="","",IF(H27&lt;&gt;"Yes","No",IF(C27=SUMPRODUCT(MAX(($B$2:$B$501=B27)*($H$2:$H$501="Yes")*$C$2:$C$501)),"Yes","No")))</f>
        <v/>
      </c>
      <c r="N27" s="46" t="str">
        <f aca="false">IF(B27="","",IF(H27&lt;&gt;"Yes","Not frozen",IF(AND(J27="Yes",K27="Yes",L27="Yes"),"Complete","Incomplete")))</f>
        <v/>
      </c>
      <c r="O27" s="46" t="str">
        <f aca="false">IF(B27="","",IF(OR(F27="Simbli",F27="Shared folder"),"Yes","No"))</f>
        <v/>
      </c>
      <c r="P27" s="46"/>
    </row>
    <row r="28" customFormat="false" ht="15" hidden="false" customHeight="false" outlineLevel="0" collapsed="false">
      <c r="A28" s="46" t="s">
        <v>2354</v>
      </c>
      <c r="B28" s="46"/>
      <c r="C28" s="49" t="n">
        <f aca="false">IF(OR(B28="",D28=""),0,COUNTIFS($B$2:$B$501,B28,$D$2:$D$501,"&lt;"&amp;D28)+COUNTIFS($B$2:$B$501,B28,$D$2:$D$501,D28,$A$2:$A$501,"&lt;"&amp;A28)+1)</f>
        <v>0</v>
      </c>
      <c r="D28" s="46"/>
      <c r="E28" s="46"/>
      <c r="F28" s="46"/>
      <c r="G28" s="46"/>
      <c r="H28" s="46"/>
      <c r="I28" s="46"/>
      <c r="J28" s="46"/>
      <c r="K28" s="46"/>
      <c r="L28" s="46"/>
      <c r="M28" s="46" t="str">
        <f aca="false">IF(B28="","",IF(H28&lt;&gt;"Yes","No",IF(C28=SUMPRODUCT(MAX(($B$2:$B$501=B28)*($H$2:$H$501="Yes")*$C$2:$C$501)),"Yes","No")))</f>
        <v/>
      </c>
      <c r="N28" s="46" t="str">
        <f aca="false">IF(B28="","",IF(H28&lt;&gt;"Yes","Not frozen",IF(AND(J28="Yes",K28="Yes",L28="Yes"),"Complete","Incomplete")))</f>
        <v/>
      </c>
      <c r="O28" s="46" t="str">
        <f aca="false">IF(B28="","",IF(OR(F28="Simbli",F28="Shared folder"),"Yes","No"))</f>
        <v/>
      </c>
      <c r="P28" s="46"/>
    </row>
    <row r="29" customFormat="false" ht="15" hidden="false" customHeight="false" outlineLevel="0" collapsed="false">
      <c r="A29" s="46" t="s">
        <v>2355</v>
      </c>
      <c r="B29" s="46"/>
      <c r="C29" s="49" t="n">
        <f aca="false">IF(OR(B29="",D29=""),0,COUNTIFS($B$2:$B$501,B29,$D$2:$D$501,"&lt;"&amp;D29)+COUNTIFS($B$2:$B$501,B29,$D$2:$D$501,D29,$A$2:$A$501,"&lt;"&amp;A29)+1)</f>
        <v>0</v>
      </c>
      <c r="D29" s="46"/>
      <c r="E29" s="46"/>
      <c r="F29" s="46"/>
      <c r="G29" s="46"/>
      <c r="H29" s="46"/>
      <c r="I29" s="46"/>
      <c r="J29" s="46"/>
      <c r="K29" s="46"/>
      <c r="L29" s="46"/>
      <c r="M29" s="46" t="str">
        <f aca="false">IF(B29="","",IF(H29&lt;&gt;"Yes","No",IF(C29=SUMPRODUCT(MAX(($B$2:$B$501=B29)*($H$2:$H$501="Yes")*$C$2:$C$501)),"Yes","No")))</f>
        <v/>
      </c>
      <c r="N29" s="46" t="str">
        <f aca="false">IF(B29="","",IF(H29&lt;&gt;"Yes","Not frozen",IF(AND(J29="Yes",K29="Yes",L29="Yes"),"Complete","Incomplete")))</f>
        <v/>
      </c>
      <c r="O29" s="46" t="str">
        <f aca="false">IF(B29="","",IF(OR(F29="Simbli",F29="Shared folder"),"Yes","No"))</f>
        <v/>
      </c>
      <c r="P29" s="46"/>
    </row>
    <row r="30" customFormat="false" ht="15" hidden="false" customHeight="false" outlineLevel="0" collapsed="false">
      <c r="A30" s="46" t="s">
        <v>2356</v>
      </c>
      <c r="B30" s="46"/>
      <c r="C30" s="49" t="n">
        <f aca="false">IF(OR(B30="",D30=""),0,COUNTIFS($B$2:$B$501,B30,$D$2:$D$501,"&lt;"&amp;D30)+COUNTIFS($B$2:$B$501,B30,$D$2:$D$501,D30,$A$2:$A$501,"&lt;"&amp;A30)+1)</f>
        <v>0</v>
      </c>
      <c r="D30" s="46"/>
      <c r="E30" s="46"/>
      <c r="F30" s="46"/>
      <c r="G30" s="46"/>
      <c r="H30" s="46"/>
      <c r="I30" s="46"/>
      <c r="J30" s="46"/>
      <c r="K30" s="46"/>
      <c r="L30" s="46"/>
      <c r="M30" s="46" t="str">
        <f aca="false">IF(B30="","",IF(H30&lt;&gt;"Yes","No",IF(C30=SUMPRODUCT(MAX(($B$2:$B$501=B30)*($H$2:$H$501="Yes")*$C$2:$C$501)),"Yes","No")))</f>
        <v/>
      </c>
      <c r="N30" s="46" t="str">
        <f aca="false">IF(B30="","",IF(H30&lt;&gt;"Yes","Not frozen",IF(AND(J30="Yes",K30="Yes",L30="Yes"),"Complete","Incomplete")))</f>
        <v/>
      </c>
      <c r="O30" s="46" t="str">
        <f aca="false">IF(B30="","",IF(OR(F30="Simbli",F30="Shared folder"),"Yes","No"))</f>
        <v/>
      </c>
      <c r="P30" s="46"/>
    </row>
    <row r="31" customFormat="false" ht="15" hidden="false" customHeight="false" outlineLevel="0" collapsed="false">
      <c r="A31" s="46" t="s">
        <v>2357</v>
      </c>
      <c r="B31" s="46"/>
      <c r="C31" s="49" t="n">
        <f aca="false">IF(OR(B31="",D31=""),0,COUNTIFS($B$2:$B$501,B31,$D$2:$D$501,"&lt;"&amp;D31)+COUNTIFS($B$2:$B$501,B31,$D$2:$D$501,D31,$A$2:$A$501,"&lt;"&amp;A31)+1)</f>
        <v>0</v>
      </c>
      <c r="D31" s="46"/>
      <c r="E31" s="46"/>
      <c r="F31" s="46"/>
      <c r="G31" s="46"/>
      <c r="H31" s="46"/>
      <c r="I31" s="46"/>
      <c r="J31" s="46"/>
      <c r="K31" s="46"/>
      <c r="L31" s="46"/>
      <c r="M31" s="46" t="str">
        <f aca="false">IF(B31="","",IF(H31&lt;&gt;"Yes","No",IF(C31=SUMPRODUCT(MAX(($B$2:$B$501=B31)*($H$2:$H$501="Yes")*$C$2:$C$501)),"Yes","No")))</f>
        <v/>
      </c>
      <c r="N31" s="46" t="str">
        <f aca="false">IF(B31="","",IF(H31&lt;&gt;"Yes","Not frozen",IF(AND(J31="Yes",K31="Yes",L31="Yes"),"Complete","Incomplete")))</f>
        <v/>
      </c>
      <c r="O31" s="46" t="str">
        <f aca="false">IF(B31="","",IF(OR(F31="Simbli",F31="Shared folder"),"Yes","No"))</f>
        <v/>
      </c>
      <c r="P31" s="46"/>
    </row>
    <row r="32" customFormat="false" ht="15" hidden="false" customHeight="false" outlineLevel="0" collapsed="false">
      <c r="A32" s="46" t="s">
        <v>2358</v>
      </c>
      <c r="B32" s="46"/>
      <c r="C32" s="49" t="n">
        <f aca="false">IF(OR(B32="",D32=""),0,COUNTIFS($B$2:$B$501,B32,$D$2:$D$501,"&lt;"&amp;D32)+COUNTIFS($B$2:$B$501,B32,$D$2:$D$501,D32,$A$2:$A$501,"&lt;"&amp;A32)+1)</f>
        <v>0</v>
      </c>
      <c r="D32" s="46"/>
      <c r="E32" s="46"/>
      <c r="F32" s="46"/>
      <c r="G32" s="46"/>
      <c r="H32" s="46"/>
      <c r="I32" s="46"/>
      <c r="J32" s="46"/>
      <c r="K32" s="46"/>
      <c r="L32" s="46"/>
      <c r="M32" s="46" t="str">
        <f aca="false">IF(B32="","",IF(H32&lt;&gt;"Yes","No",IF(C32=SUMPRODUCT(MAX(($B$2:$B$501=B32)*($H$2:$H$501="Yes")*$C$2:$C$501)),"Yes","No")))</f>
        <v/>
      </c>
      <c r="N32" s="46" t="str">
        <f aca="false">IF(B32="","",IF(H32&lt;&gt;"Yes","Not frozen",IF(AND(J32="Yes",K32="Yes",L32="Yes"),"Complete","Incomplete")))</f>
        <v/>
      </c>
      <c r="O32" s="46" t="str">
        <f aca="false">IF(B32="","",IF(OR(F32="Simbli",F32="Shared folder"),"Yes","No"))</f>
        <v/>
      </c>
      <c r="P32" s="46"/>
    </row>
    <row r="33" customFormat="false" ht="15" hidden="false" customHeight="false" outlineLevel="0" collapsed="false">
      <c r="A33" s="46" t="s">
        <v>2359</v>
      </c>
      <c r="B33" s="46"/>
      <c r="C33" s="49" t="n">
        <f aca="false">IF(OR(B33="",D33=""),0,COUNTIFS($B$2:$B$501,B33,$D$2:$D$501,"&lt;"&amp;D33)+COUNTIFS($B$2:$B$501,B33,$D$2:$D$501,D33,$A$2:$A$501,"&lt;"&amp;A33)+1)</f>
        <v>0</v>
      </c>
      <c r="D33" s="46"/>
      <c r="E33" s="46"/>
      <c r="F33" s="46"/>
      <c r="G33" s="46"/>
      <c r="H33" s="46"/>
      <c r="I33" s="46"/>
      <c r="J33" s="46"/>
      <c r="K33" s="46"/>
      <c r="L33" s="46"/>
      <c r="M33" s="46" t="str">
        <f aca="false">IF(B33="","",IF(H33&lt;&gt;"Yes","No",IF(C33=SUMPRODUCT(MAX(($B$2:$B$501=B33)*($H$2:$H$501="Yes")*$C$2:$C$501)),"Yes","No")))</f>
        <v/>
      </c>
      <c r="N33" s="46" t="str">
        <f aca="false">IF(B33="","",IF(H33&lt;&gt;"Yes","Not frozen",IF(AND(J33="Yes",K33="Yes",L33="Yes"),"Complete","Incomplete")))</f>
        <v/>
      </c>
      <c r="O33" s="46" t="str">
        <f aca="false">IF(B33="","",IF(OR(F33="Simbli",F33="Shared folder"),"Yes","No"))</f>
        <v/>
      </c>
      <c r="P33" s="46"/>
    </row>
    <row r="34" customFormat="false" ht="15" hidden="false" customHeight="false" outlineLevel="0" collapsed="false">
      <c r="A34" s="46" t="s">
        <v>2360</v>
      </c>
      <c r="B34" s="46"/>
      <c r="C34" s="49" t="n">
        <f aca="false">IF(OR(B34="",D34=""),0,COUNTIFS($B$2:$B$501,B34,$D$2:$D$501,"&lt;"&amp;D34)+COUNTIFS($B$2:$B$501,B34,$D$2:$D$501,D34,$A$2:$A$501,"&lt;"&amp;A34)+1)</f>
        <v>0</v>
      </c>
      <c r="D34" s="46"/>
      <c r="E34" s="46"/>
      <c r="F34" s="46"/>
      <c r="G34" s="46"/>
      <c r="H34" s="46"/>
      <c r="I34" s="46"/>
      <c r="J34" s="46"/>
      <c r="K34" s="46"/>
      <c r="L34" s="46"/>
      <c r="M34" s="46" t="str">
        <f aca="false">IF(B34="","",IF(H34&lt;&gt;"Yes","No",IF(C34=SUMPRODUCT(MAX(($B$2:$B$501=B34)*($H$2:$H$501="Yes")*$C$2:$C$501)),"Yes","No")))</f>
        <v/>
      </c>
      <c r="N34" s="46" t="str">
        <f aca="false">IF(B34="","",IF(H34&lt;&gt;"Yes","Not frozen",IF(AND(J34="Yes",K34="Yes",L34="Yes"),"Complete","Incomplete")))</f>
        <v/>
      </c>
      <c r="O34" s="46" t="str">
        <f aca="false">IF(B34="","",IF(OR(F34="Simbli",F34="Shared folder"),"Yes","No"))</f>
        <v/>
      </c>
      <c r="P34" s="46"/>
    </row>
    <row r="35" customFormat="false" ht="15" hidden="false" customHeight="false" outlineLevel="0" collapsed="false">
      <c r="A35" s="46" t="s">
        <v>2361</v>
      </c>
      <c r="B35" s="46"/>
      <c r="C35" s="49" t="n">
        <f aca="false">IF(OR(B35="",D35=""),0,COUNTIFS($B$2:$B$501,B35,$D$2:$D$501,"&lt;"&amp;D35)+COUNTIFS($B$2:$B$501,B35,$D$2:$D$501,D35,$A$2:$A$501,"&lt;"&amp;A35)+1)</f>
        <v>0</v>
      </c>
      <c r="D35" s="46"/>
      <c r="E35" s="46"/>
      <c r="F35" s="46"/>
      <c r="G35" s="46"/>
      <c r="H35" s="46"/>
      <c r="I35" s="46"/>
      <c r="J35" s="46"/>
      <c r="K35" s="46"/>
      <c r="L35" s="46"/>
      <c r="M35" s="46" t="str">
        <f aca="false">IF(B35="","",IF(H35&lt;&gt;"Yes","No",IF(C35=SUMPRODUCT(MAX(($B$2:$B$501=B35)*($H$2:$H$501="Yes")*$C$2:$C$501)),"Yes","No")))</f>
        <v/>
      </c>
      <c r="N35" s="46" t="str">
        <f aca="false">IF(B35="","",IF(H35&lt;&gt;"Yes","Not frozen",IF(AND(J35="Yes",K35="Yes",L35="Yes"),"Complete","Incomplete")))</f>
        <v/>
      </c>
      <c r="O35" s="46" t="str">
        <f aca="false">IF(B35="","",IF(OR(F35="Simbli",F35="Shared folder"),"Yes","No"))</f>
        <v/>
      </c>
      <c r="P35" s="46"/>
    </row>
    <row r="36" customFormat="false" ht="15" hidden="false" customHeight="false" outlineLevel="0" collapsed="false">
      <c r="A36" s="46" t="s">
        <v>2362</v>
      </c>
      <c r="B36" s="46"/>
      <c r="C36" s="49" t="n">
        <f aca="false">IF(OR(B36="",D36=""),0,COUNTIFS($B$2:$B$501,B36,$D$2:$D$501,"&lt;"&amp;D36)+COUNTIFS($B$2:$B$501,B36,$D$2:$D$501,D36,$A$2:$A$501,"&lt;"&amp;A36)+1)</f>
        <v>0</v>
      </c>
      <c r="D36" s="46"/>
      <c r="E36" s="46"/>
      <c r="F36" s="46"/>
      <c r="G36" s="46"/>
      <c r="H36" s="46"/>
      <c r="I36" s="46"/>
      <c r="J36" s="46"/>
      <c r="K36" s="46"/>
      <c r="L36" s="46"/>
      <c r="M36" s="46" t="str">
        <f aca="false">IF(B36="","",IF(H36&lt;&gt;"Yes","No",IF(C36=SUMPRODUCT(MAX(($B$2:$B$501=B36)*($H$2:$H$501="Yes")*$C$2:$C$501)),"Yes","No")))</f>
        <v/>
      </c>
      <c r="N36" s="46" t="str">
        <f aca="false">IF(B36="","",IF(H36&lt;&gt;"Yes","Not frozen",IF(AND(J36="Yes",K36="Yes",L36="Yes"),"Complete","Incomplete")))</f>
        <v/>
      </c>
      <c r="O36" s="46" t="str">
        <f aca="false">IF(B36="","",IF(OR(F36="Simbli",F36="Shared folder"),"Yes","No"))</f>
        <v/>
      </c>
      <c r="P36" s="46"/>
    </row>
    <row r="37" customFormat="false" ht="15" hidden="false" customHeight="false" outlineLevel="0" collapsed="false">
      <c r="A37" s="46" t="s">
        <v>2363</v>
      </c>
      <c r="B37" s="46"/>
      <c r="C37" s="49" t="n">
        <f aca="false">IF(OR(B37="",D37=""),0,COUNTIFS($B$2:$B$501,B37,$D$2:$D$501,"&lt;"&amp;D37)+COUNTIFS($B$2:$B$501,B37,$D$2:$D$501,D37,$A$2:$A$501,"&lt;"&amp;A37)+1)</f>
        <v>0</v>
      </c>
      <c r="D37" s="46"/>
      <c r="E37" s="46"/>
      <c r="F37" s="46"/>
      <c r="G37" s="46"/>
      <c r="H37" s="46"/>
      <c r="I37" s="46"/>
      <c r="J37" s="46"/>
      <c r="K37" s="46"/>
      <c r="L37" s="46"/>
      <c r="M37" s="46" t="str">
        <f aca="false">IF(B37="","",IF(H37&lt;&gt;"Yes","No",IF(C37=SUMPRODUCT(MAX(($B$2:$B$501=B37)*($H$2:$H$501="Yes")*$C$2:$C$501)),"Yes","No")))</f>
        <v/>
      </c>
      <c r="N37" s="46" t="str">
        <f aca="false">IF(B37="","",IF(H37&lt;&gt;"Yes","Not frozen",IF(AND(J37="Yes",K37="Yes",L37="Yes"),"Complete","Incomplete")))</f>
        <v/>
      </c>
      <c r="O37" s="46" t="str">
        <f aca="false">IF(B37="","",IF(OR(F37="Simbli",F37="Shared folder"),"Yes","No"))</f>
        <v/>
      </c>
      <c r="P37" s="46"/>
    </row>
    <row r="38" customFormat="false" ht="15" hidden="false" customHeight="false" outlineLevel="0" collapsed="false">
      <c r="A38" s="46" t="s">
        <v>2364</v>
      </c>
      <c r="B38" s="46"/>
      <c r="C38" s="49" t="n">
        <f aca="false">IF(OR(B38="",D38=""),0,COUNTIFS($B$2:$B$501,B38,$D$2:$D$501,"&lt;"&amp;D38)+COUNTIFS($B$2:$B$501,B38,$D$2:$D$501,D38,$A$2:$A$501,"&lt;"&amp;A38)+1)</f>
        <v>0</v>
      </c>
      <c r="D38" s="46"/>
      <c r="E38" s="46"/>
      <c r="F38" s="46"/>
      <c r="G38" s="46"/>
      <c r="H38" s="46"/>
      <c r="I38" s="46"/>
      <c r="J38" s="46"/>
      <c r="K38" s="46"/>
      <c r="L38" s="46"/>
      <c r="M38" s="46" t="str">
        <f aca="false">IF(B38="","",IF(H38&lt;&gt;"Yes","No",IF(C38=SUMPRODUCT(MAX(($B$2:$B$501=B38)*($H$2:$H$501="Yes")*$C$2:$C$501)),"Yes","No")))</f>
        <v/>
      </c>
      <c r="N38" s="46" t="str">
        <f aca="false">IF(B38="","",IF(H38&lt;&gt;"Yes","Not frozen",IF(AND(J38="Yes",K38="Yes",L38="Yes"),"Complete","Incomplete")))</f>
        <v/>
      </c>
      <c r="O38" s="46" t="str">
        <f aca="false">IF(B38="","",IF(OR(F38="Simbli",F38="Shared folder"),"Yes","No"))</f>
        <v/>
      </c>
      <c r="P38" s="46"/>
    </row>
    <row r="39" customFormat="false" ht="15" hidden="false" customHeight="false" outlineLevel="0" collapsed="false">
      <c r="A39" s="46" t="s">
        <v>2365</v>
      </c>
      <c r="B39" s="46"/>
      <c r="C39" s="49" t="n">
        <f aca="false">IF(OR(B39="",D39=""),0,COUNTIFS($B$2:$B$501,B39,$D$2:$D$501,"&lt;"&amp;D39)+COUNTIFS($B$2:$B$501,B39,$D$2:$D$501,D39,$A$2:$A$501,"&lt;"&amp;A39)+1)</f>
        <v>0</v>
      </c>
      <c r="D39" s="46"/>
      <c r="E39" s="46"/>
      <c r="F39" s="46"/>
      <c r="G39" s="46"/>
      <c r="H39" s="46"/>
      <c r="I39" s="46"/>
      <c r="J39" s="46"/>
      <c r="K39" s="46"/>
      <c r="L39" s="46"/>
      <c r="M39" s="46" t="str">
        <f aca="false">IF(B39="","",IF(H39&lt;&gt;"Yes","No",IF(C39=SUMPRODUCT(MAX(($B$2:$B$501=B39)*($H$2:$H$501="Yes")*$C$2:$C$501)),"Yes","No")))</f>
        <v/>
      </c>
      <c r="N39" s="46" t="str">
        <f aca="false">IF(B39="","",IF(H39&lt;&gt;"Yes","Not frozen",IF(AND(J39="Yes",K39="Yes",L39="Yes"),"Complete","Incomplete")))</f>
        <v/>
      </c>
      <c r="O39" s="46" t="str">
        <f aca="false">IF(B39="","",IF(OR(F39="Simbli",F39="Shared folder"),"Yes","No"))</f>
        <v/>
      </c>
      <c r="P39" s="46"/>
    </row>
    <row r="40" customFormat="false" ht="15" hidden="false" customHeight="false" outlineLevel="0" collapsed="false">
      <c r="A40" s="46" t="s">
        <v>2366</v>
      </c>
      <c r="B40" s="46"/>
      <c r="C40" s="49" t="n">
        <f aca="false">IF(OR(B40="",D40=""),0,COUNTIFS($B$2:$B$501,B40,$D$2:$D$501,"&lt;"&amp;D40)+COUNTIFS($B$2:$B$501,B40,$D$2:$D$501,D40,$A$2:$A$501,"&lt;"&amp;A40)+1)</f>
        <v>0</v>
      </c>
      <c r="D40" s="46"/>
      <c r="E40" s="46"/>
      <c r="F40" s="46"/>
      <c r="G40" s="46"/>
      <c r="H40" s="46"/>
      <c r="I40" s="46"/>
      <c r="J40" s="46"/>
      <c r="K40" s="46"/>
      <c r="L40" s="46"/>
      <c r="M40" s="46" t="str">
        <f aca="false">IF(B40="","",IF(H40&lt;&gt;"Yes","No",IF(C40=SUMPRODUCT(MAX(($B$2:$B$501=B40)*($H$2:$H$501="Yes")*$C$2:$C$501)),"Yes","No")))</f>
        <v/>
      </c>
      <c r="N40" s="46" t="str">
        <f aca="false">IF(B40="","",IF(H40&lt;&gt;"Yes","Not frozen",IF(AND(J40="Yes",K40="Yes",L40="Yes"),"Complete","Incomplete")))</f>
        <v/>
      </c>
      <c r="O40" s="46" t="str">
        <f aca="false">IF(B40="","",IF(OR(F40="Simbli",F40="Shared folder"),"Yes","No"))</f>
        <v/>
      </c>
      <c r="P40" s="46"/>
    </row>
    <row r="41" customFormat="false" ht="15" hidden="false" customHeight="false" outlineLevel="0" collapsed="false">
      <c r="A41" s="46" t="s">
        <v>2367</v>
      </c>
      <c r="B41" s="46"/>
      <c r="C41" s="49" t="n">
        <f aca="false">IF(OR(B41="",D41=""),0,COUNTIFS($B$2:$B$501,B41,$D$2:$D$501,"&lt;"&amp;D41)+COUNTIFS($B$2:$B$501,B41,$D$2:$D$501,D41,$A$2:$A$501,"&lt;"&amp;A41)+1)</f>
        <v>0</v>
      </c>
      <c r="D41" s="46"/>
      <c r="E41" s="46"/>
      <c r="F41" s="46"/>
      <c r="G41" s="46"/>
      <c r="H41" s="46"/>
      <c r="I41" s="46"/>
      <c r="J41" s="46"/>
      <c r="K41" s="46"/>
      <c r="L41" s="46"/>
      <c r="M41" s="46" t="str">
        <f aca="false">IF(B41="","",IF(H41&lt;&gt;"Yes","No",IF(C41=SUMPRODUCT(MAX(($B$2:$B$501=B41)*($H$2:$H$501="Yes")*$C$2:$C$501)),"Yes","No")))</f>
        <v/>
      </c>
      <c r="N41" s="46" t="str">
        <f aca="false">IF(B41="","",IF(H41&lt;&gt;"Yes","Not frozen",IF(AND(J41="Yes",K41="Yes",L41="Yes"),"Complete","Incomplete")))</f>
        <v/>
      </c>
      <c r="O41" s="46" t="str">
        <f aca="false">IF(B41="","",IF(OR(F41="Simbli",F41="Shared folder"),"Yes","No"))</f>
        <v/>
      </c>
      <c r="P41" s="46"/>
    </row>
    <row r="42" customFormat="false" ht="15" hidden="false" customHeight="false" outlineLevel="0" collapsed="false">
      <c r="A42" s="46" t="s">
        <v>2368</v>
      </c>
      <c r="B42" s="46"/>
      <c r="C42" s="49" t="n">
        <f aca="false">IF(OR(B42="",D42=""),0,COUNTIFS($B$2:$B$501,B42,$D$2:$D$501,"&lt;"&amp;D42)+COUNTIFS($B$2:$B$501,B42,$D$2:$D$501,D42,$A$2:$A$501,"&lt;"&amp;A42)+1)</f>
        <v>0</v>
      </c>
      <c r="D42" s="46"/>
      <c r="E42" s="46"/>
      <c r="F42" s="46"/>
      <c r="G42" s="46"/>
      <c r="H42" s="46"/>
      <c r="I42" s="46"/>
      <c r="J42" s="46"/>
      <c r="K42" s="46"/>
      <c r="L42" s="46"/>
      <c r="M42" s="46" t="str">
        <f aca="false">IF(B42="","",IF(H42&lt;&gt;"Yes","No",IF(C42=SUMPRODUCT(MAX(($B$2:$B$501=B42)*($H$2:$H$501="Yes")*$C$2:$C$501)),"Yes","No")))</f>
        <v/>
      </c>
      <c r="N42" s="46" t="str">
        <f aca="false">IF(B42="","",IF(H42&lt;&gt;"Yes","Not frozen",IF(AND(J42="Yes",K42="Yes",L42="Yes"),"Complete","Incomplete")))</f>
        <v/>
      </c>
      <c r="O42" s="46" t="str">
        <f aca="false">IF(B42="","",IF(OR(F42="Simbli",F42="Shared folder"),"Yes","No"))</f>
        <v/>
      </c>
      <c r="P42" s="46"/>
    </row>
    <row r="43" customFormat="false" ht="15" hidden="false" customHeight="false" outlineLevel="0" collapsed="false">
      <c r="A43" s="46" t="s">
        <v>2369</v>
      </c>
      <c r="B43" s="46"/>
      <c r="C43" s="49" t="n">
        <f aca="false">IF(OR(B43="",D43=""),0,COUNTIFS($B$2:$B$501,B43,$D$2:$D$501,"&lt;"&amp;D43)+COUNTIFS($B$2:$B$501,B43,$D$2:$D$501,D43,$A$2:$A$501,"&lt;"&amp;A43)+1)</f>
        <v>0</v>
      </c>
      <c r="D43" s="46"/>
      <c r="E43" s="46"/>
      <c r="F43" s="46"/>
      <c r="G43" s="46"/>
      <c r="H43" s="46"/>
      <c r="I43" s="46"/>
      <c r="J43" s="46"/>
      <c r="K43" s="46"/>
      <c r="L43" s="46"/>
      <c r="M43" s="46" t="str">
        <f aca="false">IF(B43="","",IF(H43&lt;&gt;"Yes","No",IF(C43=SUMPRODUCT(MAX(($B$2:$B$501=B43)*($H$2:$H$501="Yes")*$C$2:$C$501)),"Yes","No")))</f>
        <v/>
      </c>
      <c r="N43" s="46" t="str">
        <f aca="false">IF(B43="","",IF(H43&lt;&gt;"Yes","Not frozen",IF(AND(J43="Yes",K43="Yes",L43="Yes"),"Complete","Incomplete")))</f>
        <v/>
      </c>
      <c r="O43" s="46" t="str">
        <f aca="false">IF(B43="","",IF(OR(F43="Simbli",F43="Shared folder"),"Yes","No"))</f>
        <v/>
      </c>
      <c r="P43" s="46"/>
    </row>
    <row r="44" customFormat="false" ht="15" hidden="false" customHeight="false" outlineLevel="0" collapsed="false">
      <c r="A44" s="46" t="s">
        <v>2370</v>
      </c>
      <c r="B44" s="46"/>
      <c r="C44" s="49" t="n">
        <f aca="false">IF(OR(B44="",D44=""),0,COUNTIFS($B$2:$B$501,B44,$D$2:$D$501,"&lt;"&amp;D44)+COUNTIFS($B$2:$B$501,B44,$D$2:$D$501,D44,$A$2:$A$501,"&lt;"&amp;A44)+1)</f>
        <v>0</v>
      </c>
      <c r="D44" s="46"/>
      <c r="E44" s="46"/>
      <c r="F44" s="46"/>
      <c r="G44" s="46"/>
      <c r="H44" s="46"/>
      <c r="I44" s="46"/>
      <c r="J44" s="46"/>
      <c r="K44" s="46"/>
      <c r="L44" s="46"/>
      <c r="M44" s="46" t="str">
        <f aca="false">IF(B44="","",IF(H44&lt;&gt;"Yes","No",IF(C44=SUMPRODUCT(MAX(($B$2:$B$501=B44)*($H$2:$H$501="Yes")*$C$2:$C$501)),"Yes","No")))</f>
        <v/>
      </c>
      <c r="N44" s="46" t="str">
        <f aca="false">IF(B44="","",IF(H44&lt;&gt;"Yes","Not frozen",IF(AND(J44="Yes",K44="Yes",L44="Yes"),"Complete","Incomplete")))</f>
        <v/>
      </c>
      <c r="O44" s="46" t="str">
        <f aca="false">IF(B44="","",IF(OR(F44="Simbli",F44="Shared folder"),"Yes","No"))</f>
        <v/>
      </c>
      <c r="P44" s="46"/>
    </row>
    <row r="45" customFormat="false" ht="15" hidden="false" customHeight="false" outlineLevel="0" collapsed="false">
      <c r="A45" s="46" t="s">
        <v>2371</v>
      </c>
      <c r="B45" s="46"/>
      <c r="C45" s="49" t="n">
        <f aca="false">IF(OR(B45="",D45=""),0,COUNTIFS($B$2:$B$501,B45,$D$2:$D$501,"&lt;"&amp;D45)+COUNTIFS($B$2:$B$501,B45,$D$2:$D$501,D45,$A$2:$A$501,"&lt;"&amp;A45)+1)</f>
        <v>0</v>
      </c>
      <c r="D45" s="46"/>
      <c r="E45" s="46"/>
      <c r="F45" s="46"/>
      <c r="G45" s="46"/>
      <c r="H45" s="46"/>
      <c r="I45" s="46"/>
      <c r="J45" s="46"/>
      <c r="K45" s="46"/>
      <c r="L45" s="46"/>
      <c r="M45" s="46" t="str">
        <f aca="false">IF(B45="","",IF(H45&lt;&gt;"Yes","No",IF(C45=SUMPRODUCT(MAX(($B$2:$B$501=B45)*($H$2:$H$501="Yes")*$C$2:$C$501)),"Yes","No")))</f>
        <v/>
      </c>
      <c r="N45" s="46" t="str">
        <f aca="false">IF(B45="","",IF(H45&lt;&gt;"Yes","Not frozen",IF(AND(J45="Yes",K45="Yes",L45="Yes"),"Complete","Incomplete")))</f>
        <v/>
      </c>
      <c r="O45" s="46" t="str">
        <f aca="false">IF(B45="","",IF(OR(F45="Simbli",F45="Shared folder"),"Yes","No"))</f>
        <v/>
      </c>
      <c r="P45" s="46"/>
    </row>
    <row r="46" customFormat="false" ht="15" hidden="false" customHeight="false" outlineLevel="0" collapsed="false">
      <c r="A46" s="46" t="s">
        <v>2372</v>
      </c>
      <c r="B46" s="46"/>
      <c r="C46" s="49" t="n">
        <f aca="false">IF(OR(B46="",D46=""),0,COUNTIFS($B$2:$B$501,B46,$D$2:$D$501,"&lt;"&amp;D46)+COUNTIFS($B$2:$B$501,B46,$D$2:$D$501,D46,$A$2:$A$501,"&lt;"&amp;A46)+1)</f>
        <v>0</v>
      </c>
      <c r="D46" s="46"/>
      <c r="E46" s="46"/>
      <c r="F46" s="46"/>
      <c r="G46" s="46"/>
      <c r="H46" s="46"/>
      <c r="I46" s="46"/>
      <c r="J46" s="46"/>
      <c r="K46" s="46"/>
      <c r="L46" s="46"/>
      <c r="M46" s="46" t="str">
        <f aca="false">IF(B46="","",IF(H46&lt;&gt;"Yes","No",IF(C46=SUMPRODUCT(MAX(($B$2:$B$501=B46)*($H$2:$H$501="Yes")*$C$2:$C$501)),"Yes","No")))</f>
        <v/>
      </c>
      <c r="N46" s="46" t="str">
        <f aca="false">IF(B46="","",IF(H46&lt;&gt;"Yes","Not frozen",IF(AND(J46="Yes",K46="Yes",L46="Yes"),"Complete","Incomplete")))</f>
        <v/>
      </c>
      <c r="O46" s="46" t="str">
        <f aca="false">IF(B46="","",IF(OR(F46="Simbli",F46="Shared folder"),"Yes","No"))</f>
        <v/>
      </c>
      <c r="P46" s="46"/>
    </row>
    <row r="47" customFormat="false" ht="15" hidden="false" customHeight="false" outlineLevel="0" collapsed="false">
      <c r="A47" s="46" t="s">
        <v>2373</v>
      </c>
      <c r="B47" s="46"/>
      <c r="C47" s="49" t="n">
        <f aca="false">IF(OR(B47="",D47=""),0,COUNTIFS($B$2:$B$501,B47,$D$2:$D$501,"&lt;"&amp;D47)+COUNTIFS($B$2:$B$501,B47,$D$2:$D$501,D47,$A$2:$A$501,"&lt;"&amp;A47)+1)</f>
        <v>0</v>
      </c>
      <c r="D47" s="46"/>
      <c r="E47" s="46"/>
      <c r="F47" s="46"/>
      <c r="G47" s="46"/>
      <c r="H47" s="46"/>
      <c r="I47" s="46"/>
      <c r="J47" s="46"/>
      <c r="K47" s="46"/>
      <c r="L47" s="46"/>
      <c r="M47" s="46" t="str">
        <f aca="false">IF(B47="","",IF(H47&lt;&gt;"Yes","No",IF(C47=SUMPRODUCT(MAX(($B$2:$B$501=B47)*($H$2:$H$501="Yes")*$C$2:$C$501)),"Yes","No")))</f>
        <v/>
      </c>
      <c r="N47" s="46" t="str">
        <f aca="false">IF(B47="","",IF(H47&lt;&gt;"Yes","Not frozen",IF(AND(J47="Yes",K47="Yes",L47="Yes"),"Complete","Incomplete")))</f>
        <v/>
      </c>
      <c r="O47" s="46" t="str">
        <f aca="false">IF(B47="","",IF(OR(F47="Simbli",F47="Shared folder"),"Yes","No"))</f>
        <v/>
      </c>
      <c r="P47" s="46"/>
    </row>
    <row r="48" customFormat="false" ht="15" hidden="false" customHeight="false" outlineLevel="0" collapsed="false">
      <c r="A48" s="46" t="s">
        <v>2374</v>
      </c>
      <c r="B48" s="46"/>
      <c r="C48" s="49" t="n">
        <f aca="false">IF(OR(B48="",D48=""),0,COUNTIFS($B$2:$B$501,B48,$D$2:$D$501,"&lt;"&amp;D48)+COUNTIFS($B$2:$B$501,B48,$D$2:$D$501,D48,$A$2:$A$501,"&lt;"&amp;A48)+1)</f>
        <v>0</v>
      </c>
      <c r="D48" s="46"/>
      <c r="E48" s="46"/>
      <c r="F48" s="46"/>
      <c r="G48" s="46"/>
      <c r="H48" s="46"/>
      <c r="I48" s="46"/>
      <c r="J48" s="46"/>
      <c r="K48" s="46"/>
      <c r="L48" s="46"/>
      <c r="M48" s="46" t="str">
        <f aca="false">IF(B48="","",IF(H48&lt;&gt;"Yes","No",IF(C48=SUMPRODUCT(MAX(($B$2:$B$501=B48)*($H$2:$H$501="Yes")*$C$2:$C$501)),"Yes","No")))</f>
        <v/>
      </c>
      <c r="N48" s="46" t="str">
        <f aca="false">IF(B48="","",IF(H48&lt;&gt;"Yes","Not frozen",IF(AND(J48="Yes",K48="Yes",L48="Yes"),"Complete","Incomplete")))</f>
        <v/>
      </c>
      <c r="O48" s="46" t="str">
        <f aca="false">IF(B48="","",IF(OR(F48="Simbli",F48="Shared folder"),"Yes","No"))</f>
        <v/>
      </c>
      <c r="P48" s="46"/>
    </row>
    <row r="49" customFormat="false" ht="15" hidden="false" customHeight="false" outlineLevel="0" collapsed="false">
      <c r="A49" s="46" t="s">
        <v>2375</v>
      </c>
      <c r="B49" s="46"/>
      <c r="C49" s="49" t="n">
        <f aca="false">IF(OR(B49="",D49=""),0,COUNTIFS($B$2:$B$501,B49,$D$2:$D$501,"&lt;"&amp;D49)+COUNTIFS($B$2:$B$501,B49,$D$2:$D$501,D49,$A$2:$A$501,"&lt;"&amp;A49)+1)</f>
        <v>0</v>
      </c>
      <c r="D49" s="46"/>
      <c r="E49" s="46"/>
      <c r="F49" s="46"/>
      <c r="G49" s="46"/>
      <c r="H49" s="46"/>
      <c r="I49" s="46"/>
      <c r="J49" s="46"/>
      <c r="K49" s="46"/>
      <c r="L49" s="46"/>
      <c r="M49" s="46" t="str">
        <f aca="false">IF(B49="","",IF(H49&lt;&gt;"Yes","No",IF(C49=SUMPRODUCT(MAX(($B$2:$B$501=B49)*($H$2:$H$501="Yes")*$C$2:$C$501)),"Yes","No")))</f>
        <v/>
      </c>
      <c r="N49" s="46" t="str">
        <f aca="false">IF(B49="","",IF(H49&lt;&gt;"Yes","Not frozen",IF(AND(J49="Yes",K49="Yes",L49="Yes"),"Complete","Incomplete")))</f>
        <v/>
      </c>
      <c r="O49" s="46" t="str">
        <f aca="false">IF(B49="","",IF(OR(F49="Simbli",F49="Shared folder"),"Yes","No"))</f>
        <v/>
      </c>
      <c r="P49" s="46"/>
    </row>
    <row r="50" customFormat="false" ht="15" hidden="false" customHeight="false" outlineLevel="0" collapsed="false">
      <c r="A50" s="46" t="s">
        <v>2376</v>
      </c>
      <c r="B50" s="46"/>
      <c r="C50" s="49" t="n">
        <f aca="false">IF(OR(B50="",D50=""),0,COUNTIFS($B$2:$B$501,B50,$D$2:$D$501,"&lt;"&amp;D50)+COUNTIFS($B$2:$B$501,B50,$D$2:$D$501,D50,$A$2:$A$501,"&lt;"&amp;A50)+1)</f>
        <v>0</v>
      </c>
      <c r="D50" s="46"/>
      <c r="E50" s="46"/>
      <c r="F50" s="46"/>
      <c r="G50" s="46"/>
      <c r="H50" s="46"/>
      <c r="I50" s="46"/>
      <c r="J50" s="46"/>
      <c r="K50" s="46"/>
      <c r="L50" s="46"/>
      <c r="M50" s="46" t="str">
        <f aca="false">IF(B50="","",IF(H50&lt;&gt;"Yes","No",IF(C50=SUMPRODUCT(MAX(($B$2:$B$501=B50)*($H$2:$H$501="Yes")*$C$2:$C$501)),"Yes","No")))</f>
        <v/>
      </c>
      <c r="N50" s="46" t="str">
        <f aca="false">IF(B50="","",IF(H50&lt;&gt;"Yes","Not frozen",IF(AND(J50="Yes",K50="Yes",L50="Yes"),"Complete","Incomplete")))</f>
        <v/>
      </c>
      <c r="O50" s="46" t="str">
        <f aca="false">IF(B50="","",IF(OR(F50="Simbli",F50="Shared folder"),"Yes","No"))</f>
        <v/>
      </c>
      <c r="P50" s="46"/>
    </row>
    <row r="51" customFormat="false" ht="15" hidden="false" customHeight="false" outlineLevel="0" collapsed="false">
      <c r="A51" s="46" t="s">
        <v>2377</v>
      </c>
      <c r="B51" s="46"/>
      <c r="C51" s="49" t="n">
        <f aca="false">IF(OR(B51="",D51=""),0,COUNTIFS($B$2:$B$501,B51,$D$2:$D$501,"&lt;"&amp;D51)+COUNTIFS($B$2:$B$501,B51,$D$2:$D$501,D51,$A$2:$A$501,"&lt;"&amp;A51)+1)</f>
        <v>0</v>
      </c>
      <c r="D51" s="46"/>
      <c r="E51" s="46"/>
      <c r="F51" s="46"/>
      <c r="G51" s="46"/>
      <c r="H51" s="46"/>
      <c r="I51" s="46"/>
      <c r="J51" s="46"/>
      <c r="K51" s="46"/>
      <c r="L51" s="46"/>
      <c r="M51" s="46" t="str">
        <f aca="false">IF(B51="","",IF(H51&lt;&gt;"Yes","No",IF(C51=SUMPRODUCT(MAX(($B$2:$B$501=B51)*($H$2:$H$501="Yes")*$C$2:$C$501)),"Yes","No")))</f>
        <v/>
      </c>
      <c r="N51" s="46" t="str">
        <f aca="false">IF(B51="","",IF(H51&lt;&gt;"Yes","Not frozen",IF(AND(J51="Yes",K51="Yes",L51="Yes"),"Complete","Incomplete")))</f>
        <v/>
      </c>
      <c r="O51" s="46" t="str">
        <f aca="false">IF(B51="","",IF(OR(F51="Simbli",F51="Shared folder"),"Yes","No"))</f>
        <v/>
      </c>
      <c r="P51" s="46"/>
    </row>
    <row r="52" customFormat="false" ht="15" hidden="false" customHeight="false" outlineLevel="0" collapsed="false">
      <c r="A52" s="46" t="s">
        <v>2378</v>
      </c>
      <c r="B52" s="46"/>
      <c r="C52" s="49" t="n">
        <f aca="false">IF(OR(B52="",D52=""),0,COUNTIFS($B$2:$B$501,B52,$D$2:$D$501,"&lt;"&amp;D52)+COUNTIFS($B$2:$B$501,B52,$D$2:$D$501,D52,$A$2:$A$501,"&lt;"&amp;A52)+1)</f>
        <v>0</v>
      </c>
      <c r="D52" s="46"/>
      <c r="E52" s="46"/>
      <c r="F52" s="46"/>
      <c r="G52" s="46"/>
      <c r="H52" s="46"/>
      <c r="I52" s="46"/>
      <c r="J52" s="46"/>
      <c r="K52" s="46"/>
      <c r="L52" s="46"/>
      <c r="M52" s="46" t="str">
        <f aca="false">IF(B52="","",IF(H52&lt;&gt;"Yes","No",IF(C52=SUMPRODUCT(MAX(($B$2:$B$501=B52)*($H$2:$H$501="Yes")*$C$2:$C$501)),"Yes","No")))</f>
        <v/>
      </c>
      <c r="N52" s="46" t="str">
        <f aca="false">IF(B52="","",IF(H52&lt;&gt;"Yes","Not frozen",IF(AND(J52="Yes",K52="Yes",L52="Yes"),"Complete","Incomplete")))</f>
        <v/>
      </c>
      <c r="O52" s="46" t="str">
        <f aca="false">IF(B52="","",IF(OR(F52="Simbli",F52="Shared folder"),"Yes","No"))</f>
        <v/>
      </c>
      <c r="P52" s="46"/>
    </row>
    <row r="53" customFormat="false" ht="15" hidden="false" customHeight="false" outlineLevel="0" collapsed="false">
      <c r="A53" s="46" t="s">
        <v>2379</v>
      </c>
      <c r="B53" s="46"/>
      <c r="C53" s="49" t="n">
        <f aca="false">IF(OR(B53="",D53=""),0,COUNTIFS($B$2:$B$501,B53,$D$2:$D$501,"&lt;"&amp;D53)+COUNTIFS($B$2:$B$501,B53,$D$2:$D$501,D53,$A$2:$A$501,"&lt;"&amp;A53)+1)</f>
        <v>0</v>
      </c>
      <c r="D53" s="46"/>
      <c r="E53" s="46"/>
      <c r="F53" s="46"/>
      <c r="G53" s="46"/>
      <c r="H53" s="46"/>
      <c r="I53" s="46"/>
      <c r="J53" s="46"/>
      <c r="K53" s="46"/>
      <c r="L53" s="46"/>
      <c r="M53" s="46" t="str">
        <f aca="false">IF(B53="","",IF(H53&lt;&gt;"Yes","No",IF(C53=SUMPRODUCT(MAX(($B$2:$B$501=B53)*($H$2:$H$501="Yes")*$C$2:$C$501)),"Yes","No")))</f>
        <v/>
      </c>
      <c r="N53" s="46" t="str">
        <f aca="false">IF(B53="","",IF(H53&lt;&gt;"Yes","Not frozen",IF(AND(J53="Yes",K53="Yes",L53="Yes"),"Complete","Incomplete")))</f>
        <v/>
      </c>
      <c r="O53" s="46" t="str">
        <f aca="false">IF(B53="","",IF(OR(F53="Simbli",F53="Shared folder"),"Yes","No"))</f>
        <v/>
      </c>
      <c r="P53" s="46"/>
    </row>
    <row r="54" customFormat="false" ht="15" hidden="false" customHeight="false" outlineLevel="0" collapsed="false">
      <c r="A54" s="46" t="s">
        <v>2380</v>
      </c>
      <c r="B54" s="46"/>
      <c r="C54" s="49" t="n">
        <f aca="false">IF(OR(B54="",D54=""),0,COUNTIFS($B$2:$B$501,B54,$D$2:$D$501,"&lt;"&amp;D54)+COUNTIFS($B$2:$B$501,B54,$D$2:$D$501,D54,$A$2:$A$501,"&lt;"&amp;A54)+1)</f>
        <v>0</v>
      </c>
      <c r="D54" s="46"/>
      <c r="E54" s="46"/>
      <c r="F54" s="46"/>
      <c r="G54" s="46"/>
      <c r="H54" s="46"/>
      <c r="I54" s="46"/>
      <c r="J54" s="46"/>
      <c r="K54" s="46"/>
      <c r="L54" s="46"/>
      <c r="M54" s="46" t="str">
        <f aca="false">IF(B54="","",IF(H54&lt;&gt;"Yes","No",IF(C54=SUMPRODUCT(MAX(($B$2:$B$501=B54)*($H$2:$H$501="Yes")*$C$2:$C$501)),"Yes","No")))</f>
        <v/>
      </c>
      <c r="N54" s="46" t="str">
        <f aca="false">IF(B54="","",IF(H54&lt;&gt;"Yes","Not frozen",IF(AND(J54="Yes",K54="Yes",L54="Yes"),"Complete","Incomplete")))</f>
        <v/>
      </c>
      <c r="O54" s="46" t="str">
        <f aca="false">IF(B54="","",IF(OR(F54="Simbli",F54="Shared folder"),"Yes","No"))</f>
        <v/>
      </c>
      <c r="P54" s="46"/>
    </row>
    <row r="55" customFormat="false" ht="15" hidden="false" customHeight="false" outlineLevel="0" collapsed="false">
      <c r="A55" s="46" t="s">
        <v>2381</v>
      </c>
      <c r="B55" s="46"/>
      <c r="C55" s="49" t="n">
        <f aca="false">IF(OR(B55="",D55=""),0,COUNTIFS($B$2:$B$501,B55,$D$2:$D$501,"&lt;"&amp;D55)+COUNTIFS($B$2:$B$501,B55,$D$2:$D$501,D55,$A$2:$A$501,"&lt;"&amp;A55)+1)</f>
        <v>0</v>
      </c>
      <c r="D55" s="46"/>
      <c r="E55" s="46"/>
      <c r="F55" s="46"/>
      <c r="G55" s="46"/>
      <c r="H55" s="46"/>
      <c r="I55" s="46"/>
      <c r="J55" s="46"/>
      <c r="K55" s="46"/>
      <c r="L55" s="46"/>
      <c r="M55" s="46" t="str">
        <f aca="false">IF(B55="","",IF(H55&lt;&gt;"Yes","No",IF(C55=SUMPRODUCT(MAX(($B$2:$B$501=B55)*($H$2:$H$501="Yes")*$C$2:$C$501)),"Yes","No")))</f>
        <v/>
      </c>
      <c r="N55" s="46" t="str">
        <f aca="false">IF(B55="","",IF(H55&lt;&gt;"Yes","Not frozen",IF(AND(J55="Yes",K55="Yes",L55="Yes"),"Complete","Incomplete")))</f>
        <v/>
      </c>
      <c r="O55" s="46" t="str">
        <f aca="false">IF(B55="","",IF(OR(F55="Simbli",F55="Shared folder"),"Yes","No"))</f>
        <v/>
      </c>
      <c r="P55" s="46"/>
    </row>
    <row r="56" customFormat="false" ht="15" hidden="false" customHeight="false" outlineLevel="0" collapsed="false">
      <c r="A56" s="46" t="s">
        <v>2382</v>
      </c>
      <c r="B56" s="46"/>
      <c r="C56" s="49" t="n">
        <f aca="false">IF(OR(B56="",D56=""),0,COUNTIFS($B$2:$B$501,B56,$D$2:$D$501,"&lt;"&amp;D56)+COUNTIFS($B$2:$B$501,B56,$D$2:$D$501,D56,$A$2:$A$501,"&lt;"&amp;A56)+1)</f>
        <v>0</v>
      </c>
      <c r="D56" s="46"/>
      <c r="E56" s="46"/>
      <c r="F56" s="46"/>
      <c r="G56" s="46"/>
      <c r="H56" s="46"/>
      <c r="I56" s="46"/>
      <c r="J56" s="46"/>
      <c r="K56" s="46"/>
      <c r="L56" s="46"/>
      <c r="M56" s="46" t="str">
        <f aca="false">IF(B56="","",IF(H56&lt;&gt;"Yes","No",IF(C56=SUMPRODUCT(MAX(($B$2:$B$501=B56)*($H$2:$H$501="Yes")*$C$2:$C$501)),"Yes","No")))</f>
        <v/>
      </c>
      <c r="N56" s="46" t="str">
        <f aca="false">IF(B56="","",IF(H56&lt;&gt;"Yes","Not frozen",IF(AND(J56="Yes",K56="Yes",L56="Yes"),"Complete","Incomplete")))</f>
        <v/>
      </c>
      <c r="O56" s="46" t="str">
        <f aca="false">IF(B56="","",IF(OR(F56="Simbli",F56="Shared folder"),"Yes","No"))</f>
        <v/>
      </c>
      <c r="P56" s="46"/>
    </row>
    <row r="57" customFormat="false" ht="15" hidden="false" customHeight="false" outlineLevel="0" collapsed="false">
      <c r="A57" s="46" t="s">
        <v>2383</v>
      </c>
      <c r="B57" s="46"/>
      <c r="C57" s="49" t="n">
        <f aca="false">IF(OR(B57="",D57=""),0,COUNTIFS($B$2:$B$501,B57,$D$2:$D$501,"&lt;"&amp;D57)+COUNTIFS($B$2:$B$501,B57,$D$2:$D$501,D57,$A$2:$A$501,"&lt;"&amp;A57)+1)</f>
        <v>0</v>
      </c>
      <c r="D57" s="46"/>
      <c r="E57" s="46"/>
      <c r="F57" s="46"/>
      <c r="G57" s="46"/>
      <c r="H57" s="46"/>
      <c r="I57" s="46"/>
      <c r="J57" s="46"/>
      <c r="K57" s="46"/>
      <c r="L57" s="46"/>
      <c r="M57" s="46" t="str">
        <f aca="false">IF(B57="","",IF(H57&lt;&gt;"Yes","No",IF(C57=SUMPRODUCT(MAX(($B$2:$B$501=B57)*($H$2:$H$501="Yes")*$C$2:$C$501)),"Yes","No")))</f>
        <v/>
      </c>
      <c r="N57" s="46" t="str">
        <f aca="false">IF(B57="","",IF(H57&lt;&gt;"Yes","Not frozen",IF(AND(J57="Yes",K57="Yes",L57="Yes"),"Complete","Incomplete")))</f>
        <v/>
      </c>
      <c r="O57" s="46" t="str">
        <f aca="false">IF(B57="","",IF(OR(F57="Simbli",F57="Shared folder"),"Yes","No"))</f>
        <v/>
      </c>
      <c r="P57" s="46"/>
    </row>
    <row r="58" customFormat="false" ht="15" hidden="false" customHeight="false" outlineLevel="0" collapsed="false">
      <c r="A58" s="46" t="s">
        <v>2384</v>
      </c>
      <c r="B58" s="46"/>
      <c r="C58" s="49" t="n">
        <f aca="false">IF(OR(B58="",D58=""),0,COUNTIFS($B$2:$B$501,B58,$D$2:$D$501,"&lt;"&amp;D58)+COUNTIFS($B$2:$B$501,B58,$D$2:$D$501,D58,$A$2:$A$501,"&lt;"&amp;A58)+1)</f>
        <v>0</v>
      </c>
      <c r="D58" s="46"/>
      <c r="E58" s="46"/>
      <c r="F58" s="46"/>
      <c r="G58" s="46"/>
      <c r="H58" s="46"/>
      <c r="I58" s="46"/>
      <c r="J58" s="46"/>
      <c r="K58" s="46"/>
      <c r="L58" s="46"/>
      <c r="M58" s="46" t="str">
        <f aca="false">IF(B58="","",IF(H58&lt;&gt;"Yes","No",IF(C58=SUMPRODUCT(MAX(($B$2:$B$501=B58)*($H$2:$H$501="Yes")*$C$2:$C$501)),"Yes","No")))</f>
        <v/>
      </c>
      <c r="N58" s="46" t="str">
        <f aca="false">IF(B58="","",IF(H58&lt;&gt;"Yes","Not frozen",IF(AND(J58="Yes",K58="Yes",L58="Yes"),"Complete","Incomplete")))</f>
        <v/>
      </c>
      <c r="O58" s="46" t="str">
        <f aca="false">IF(B58="","",IF(OR(F58="Simbli",F58="Shared folder"),"Yes","No"))</f>
        <v/>
      </c>
      <c r="P58" s="46"/>
    </row>
    <row r="59" customFormat="false" ht="15" hidden="false" customHeight="false" outlineLevel="0" collapsed="false">
      <c r="A59" s="46" t="s">
        <v>2385</v>
      </c>
      <c r="B59" s="46"/>
      <c r="C59" s="49" t="n">
        <f aca="false">IF(OR(B59="",D59=""),0,COUNTIFS($B$2:$B$501,B59,$D$2:$D$501,"&lt;"&amp;D59)+COUNTIFS($B$2:$B$501,B59,$D$2:$D$501,D59,$A$2:$A$501,"&lt;"&amp;A59)+1)</f>
        <v>0</v>
      </c>
      <c r="D59" s="46"/>
      <c r="E59" s="46"/>
      <c r="F59" s="46"/>
      <c r="G59" s="46"/>
      <c r="H59" s="46"/>
      <c r="I59" s="46"/>
      <c r="J59" s="46"/>
      <c r="K59" s="46"/>
      <c r="L59" s="46"/>
      <c r="M59" s="46" t="str">
        <f aca="false">IF(B59="","",IF(H59&lt;&gt;"Yes","No",IF(C59=SUMPRODUCT(MAX(($B$2:$B$501=B59)*($H$2:$H$501="Yes")*$C$2:$C$501)),"Yes","No")))</f>
        <v/>
      </c>
      <c r="N59" s="46" t="str">
        <f aca="false">IF(B59="","",IF(H59&lt;&gt;"Yes","Not frozen",IF(AND(J59="Yes",K59="Yes",L59="Yes"),"Complete","Incomplete")))</f>
        <v/>
      </c>
      <c r="O59" s="46" t="str">
        <f aca="false">IF(B59="","",IF(OR(F59="Simbli",F59="Shared folder"),"Yes","No"))</f>
        <v/>
      </c>
      <c r="P59" s="46"/>
    </row>
    <row r="60" customFormat="false" ht="15" hidden="false" customHeight="false" outlineLevel="0" collapsed="false">
      <c r="A60" s="46" t="s">
        <v>2386</v>
      </c>
      <c r="B60" s="46"/>
      <c r="C60" s="49" t="n">
        <f aca="false">IF(OR(B60="",D60=""),0,COUNTIFS($B$2:$B$501,B60,$D$2:$D$501,"&lt;"&amp;D60)+COUNTIFS($B$2:$B$501,B60,$D$2:$D$501,D60,$A$2:$A$501,"&lt;"&amp;A60)+1)</f>
        <v>0</v>
      </c>
      <c r="D60" s="46"/>
      <c r="E60" s="46"/>
      <c r="F60" s="46"/>
      <c r="G60" s="46"/>
      <c r="H60" s="46"/>
      <c r="I60" s="46"/>
      <c r="J60" s="46"/>
      <c r="K60" s="46"/>
      <c r="L60" s="46"/>
      <c r="M60" s="46" t="str">
        <f aca="false">IF(B60="","",IF(H60&lt;&gt;"Yes","No",IF(C60=SUMPRODUCT(MAX(($B$2:$B$501=B60)*($H$2:$H$501="Yes")*$C$2:$C$501)),"Yes","No")))</f>
        <v/>
      </c>
      <c r="N60" s="46" t="str">
        <f aca="false">IF(B60="","",IF(H60&lt;&gt;"Yes","Not frozen",IF(AND(J60="Yes",K60="Yes",L60="Yes"),"Complete","Incomplete")))</f>
        <v/>
      </c>
      <c r="O60" s="46" t="str">
        <f aca="false">IF(B60="","",IF(OR(F60="Simbli",F60="Shared folder"),"Yes","No"))</f>
        <v/>
      </c>
      <c r="P60" s="46"/>
    </row>
    <row r="61" customFormat="false" ht="15" hidden="false" customHeight="false" outlineLevel="0" collapsed="false">
      <c r="A61" s="46" t="s">
        <v>2387</v>
      </c>
      <c r="B61" s="46"/>
      <c r="C61" s="49" t="n">
        <f aca="false">IF(OR(B61="",D61=""),0,COUNTIFS($B$2:$B$501,B61,$D$2:$D$501,"&lt;"&amp;D61)+COUNTIFS($B$2:$B$501,B61,$D$2:$D$501,D61,$A$2:$A$501,"&lt;"&amp;A61)+1)</f>
        <v>0</v>
      </c>
      <c r="D61" s="46"/>
      <c r="E61" s="46"/>
      <c r="F61" s="46"/>
      <c r="G61" s="46"/>
      <c r="H61" s="46"/>
      <c r="I61" s="46"/>
      <c r="J61" s="46"/>
      <c r="K61" s="46"/>
      <c r="L61" s="46"/>
      <c r="M61" s="46" t="str">
        <f aca="false">IF(B61="","",IF(H61&lt;&gt;"Yes","No",IF(C61=SUMPRODUCT(MAX(($B$2:$B$501=B61)*($H$2:$H$501="Yes")*$C$2:$C$501)),"Yes","No")))</f>
        <v/>
      </c>
      <c r="N61" s="46" t="str">
        <f aca="false">IF(B61="","",IF(H61&lt;&gt;"Yes","Not frozen",IF(AND(J61="Yes",K61="Yes",L61="Yes"),"Complete","Incomplete")))</f>
        <v/>
      </c>
      <c r="O61" s="46" t="str">
        <f aca="false">IF(B61="","",IF(OR(F61="Simbli",F61="Shared folder"),"Yes","No"))</f>
        <v/>
      </c>
      <c r="P61" s="46"/>
    </row>
    <row r="62" customFormat="false" ht="15" hidden="false" customHeight="false" outlineLevel="0" collapsed="false">
      <c r="A62" s="46" t="s">
        <v>2388</v>
      </c>
      <c r="B62" s="46"/>
      <c r="C62" s="49" t="n">
        <f aca="false">IF(OR(B62="",D62=""),0,COUNTIFS($B$2:$B$501,B62,$D$2:$D$501,"&lt;"&amp;D62)+COUNTIFS($B$2:$B$501,B62,$D$2:$D$501,D62,$A$2:$A$501,"&lt;"&amp;A62)+1)</f>
        <v>0</v>
      </c>
      <c r="D62" s="46"/>
      <c r="E62" s="46"/>
      <c r="F62" s="46"/>
      <c r="G62" s="46"/>
      <c r="H62" s="46"/>
      <c r="I62" s="46"/>
      <c r="J62" s="46"/>
      <c r="K62" s="46"/>
      <c r="L62" s="46"/>
      <c r="M62" s="46" t="str">
        <f aca="false">IF(B62="","",IF(H62&lt;&gt;"Yes","No",IF(C62=SUMPRODUCT(MAX(($B$2:$B$501=B62)*($H$2:$H$501="Yes")*$C$2:$C$501)),"Yes","No")))</f>
        <v/>
      </c>
      <c r="N62" s="46" t="str">
        <f aca="false">IF(B62="","",IF(H62&lt;&gt;"Yes","Not frozen",IF(AND(J62="Yes",K62="Yes",L62="Yes"),"Complete","Incomplete")))</f>
        <v/>
      </c>
      <c r="O62" s="46" t="str">
        <f aca="false">IF(B62="","",IF(OR(F62="Simbli",F62="Shared folder"),"Yes","No"))</f>
        <v/>
      </c>
      <c r="P62" s="46"/>
    </row>
    <row r="63" customFormat="false" ht="15" hidden="false" customHeight="false" outlineLevel="0" collapsed="false">
      <c r="A63" s="46" t="s">
        <v>2389</v>
      </c>
      <c r="B63" s="46"/>
      <c r="C63" s="49" t="n">
        <f aca="false">IF(OR(B63="",D63=""),0,COUNTIFS($B$2:$B$501,B63,$D$2:$D$501,"&lt;"&amp;D63)+COUNTIFS($B$2:$B$501,B63,$D$2:$D$501,D63,$A$2:$A$501,"&lt;"&amp;A63)+1)</f>
        <v>0</v>
      </c>
      <c r="D63" s="46"/>
      <c r="E63" s="46"/>
      <c r="F63" s="46"/>
      <c r="G63" s="46"/>
      <c r="H63" s="46"/>
      <c r="I63" s="46"/>
      <c r="J63" s="46"/>
      <c r="K63" s="46"/>
      <c r="L63" s="46"/>
      <c r="M63" s="46" t="str">
        <f aca="false">IF(B63="","",IF(H63&lt;&gt;"Yes","No",IF(C63=SUMPRODUCT(MAX(($B$2:$B$501=B63)*($H$2:$H$501="Yes")*$C$2:$C$501)),"Yes","No")))</f>
        <v/>
      </c>
      <c r="N63" s="46" t="str">
        <f aca="false">IF(B63="","",IF(H63&lt;&gt;"Yes","Not frozen",IF(AND(J63="Yes",K63="Yes",L63="Yes"),"Complete","Incomplete")))</f>
        <v/>
      </c>
      <c r="O63" s="46" t="str">
        <f aca="false">IF(B63="","",IF(OR(F63="Simbli",F63="Shared folder"),"Yes","No"))</f>
        <v/>
      </c>
      <c r="P63" s="46"/>
    </row>
    <row r="64" customFormat="false" ht="15" hidden="false" customHeight="false" outlineLevel="0" collapsed="false">
      <c r="A64" s="46" t="s">
        <v>2390</v>
      </c>
      <c r="B64" s="46"/>
      <c r="C64" s="49" t="n">
        <f aca="false">IF(OR(B64="",D64=""),0,COUNTIFS($B$2:$B$501,B64,$D$2:$D$501,"&lt;"&amp;D64)+COUNTIFS($B$2:$B$501,B64,$D$2:$D$501,D64,$A$2:$A$501,"&lt;"&amp;A64)+1)</f>
        <v>0</v>
      </c>
      <c r="D64" s="46"/>
      <c r="E64" s="46"/>
      <c r="F64" s="46"/>
      <c r="G64" s="46"/>
      <c r="H64" s="46"/>
      <c r="I64" s="46"/>
      <c r="J64" s="46"/>
      <c r="K64" s="46"/>
      <c r="L64" s="46"/>
      <c r="M64" s="46" t="str">
        <f aca="false">IF(B64="","",IF(H64&lt;&gt;"Yes","No",IF(C64=SUMPRODUCT(MAX(($B$2:$B$501=B64)*($H$2:$H$501="Yes")*$C$2:$C$501)),"Yes","No")))</f>
        <v/>
      </c>
      <c r="N64" s="46" t="str">
        <f aca="false">IF(B64="","",IF(H64&lt;&gt;"Yes","Not frozen",IF(AND(J64="Yes",K64="Yes",L64="Yes"),"Complete","Incomplete")))</f>
        <v/>
      </c>
      <c r="O64" s="46" t="str">
        <f aca="false">IF(B64="","",IF(OR(F64="Simbli",F64="Shared folder"),"Yes","No"))</f>
        <v/>
      </c>
      <c r="P64" s="46"/>
    </row>
    <row r="65" customFormat="false" ht="15" hidden="false" customHeight="false" outlineLevel="0" collapsed="false">
      <c r="A65" s="46" t="s">
        <v>2391</v>
      </c>
      <c r="B65" s="46"/>
      <c r="C65" s="49" t="n">
        <f aca="false">IF(OR(B65="",D65=""),0,COUNTIFS($B$2:$B$501,B65,$D$2:$D$501,"&lt;"&amp;D65)+COUNTIFS($B$2:$B$501,B65,$D$2:$D$501,D65,$A$2:$A$501,"&lt;"&amp;A65)+1)</f>
        <v>0</v>
      </c>
      <c r="D65" s="46"/>
      <c r="E65" s="46"/>
      <c r="F65" s="46"/>
      <c r="G65" s="46"/>
      <c r="H65" s="46"/>
      <c r="I65" s="46"/>
      <c r="J65" s="46"/>
      <c r="K65" s="46"/>
      <c r="L65" s="46"/>
      <c r="M65" s="46" t="str">
        <f aca="false">IF(B65="","",IF(H65&lt;&gt;"Yes","No",IF(C65=SUMPRODUCT(MAX(($B$2:$B$501=B65)*($H$2:$H$501="Yes")*$C$2:$C$501)),"Yes","No")))</f>
        <v/>
      </c>
      <c r="N65" s="46" t="str">
        <f aca="false">IF(B65="","",IF(H65&lt;&gt;"Yes","Not frozen",IF(AND(J65="Yes",K65="Yes",L65="Yes"),"Complete","Incomplete")))</f>
        <v/>
      </c>
      <c r="O65" s="46" t="str">
        <f aca="false">IF(B65="","",IF(OR(F65="Simbli",F65="Shared folder"),"Yes","No"))</f>
        <v/>
      </c>
      <c r="P65" s="46"/>
    </row>
    <row r="66" customFormat="false" ht="15" hidden="false" customHeight="false" outlineLevel="0" collapsed="false">
      <c r="A66" s="46" t="s">
        <v>2392</v>
      </c>
      <c r="B66" s="46"/>
      <c r="C66" s="49" t="n">
        <f aca="false">IF(OR(B66="",D66=""),0,COUNTIFS($B$2:$B$501,B66,$D$2:$D$501,"&lt;"&amp;D66)+COUNTIFS($B$2:$B$501,B66,$D$2:$D$501,D66,$A$2:$A$501,"&lt;"&amp;A66)+1)</f>
        <v>0</v>
      </c>
      <c r="D66" s="46"/>
      <c r="E66" s="46"/>
      <c r="F66" s="46"/>
      <c r="G66" s="46"/>
      <c r="H66" s="46"/>
      <c r="I66" s="46"/>
      <c r="J66" s="46"/>
      <c r="K66" s="46"/>
      <c r="L66" s="46"/>
      <c r="M66" s="46" t="str">
        <f aca="false">IF(B66="","",IF(H66&lt;&gt;"Yes","No",IF(C66=SUMPRODUCT(MAX(($B$2:$B$501=B66)*($H$2:$H$501="Yes")*$C$2:$C$501)),"Yes","No")))</f>
        <v/>
      </c>
      <c r="N66" s="46" t="str">
        <f aca="false">IF(B66="","",IF(H66&lt;&gt;"Yes","Not frozen",IF(AND(J66="Yes",K66="Yes",L66="Yes"),"Complete","Incomplete")))</f>
        <v/>
      </c>
      <c r="O66" s="46" t="str">
        <f aca="false">IF(B66="","",IF(OR(F66="Simbli",F66="Shared folder"),"Yes","No"))</f>
        <v/>
      </c>
      <c r="P66" s="46"/>
    </row>
    <row r="67" customFormat="false" ht="15" hidden="false" customHeight="false" outlineLevel="0" collapsed="false">
      <c r="A67" s="46" t="s">
        <v>2393</v>
      </c>
      <c r="B67" s="46"/>
      <c r="C67" s="49" t="n">
        <f aca="false">IF(OR(B67="",D67=""),0,COUNTIFS($B$2:$B$501,B67,$D$2:$D$501,"&lt;"&amp;D67)+COUNTIFS($B$2:$B$501,B67,$D$2:$D$501,D67,$A$2:$A$501,"&lt;"&amp;A67)+1)</f>
        <v>0</v>
      </c>
      <c r="D67" s="46"/>
      <c r="E67" s="46"/>
      <c r="F67" s="46"/>
      <c r="G67" s="46"/>
      <c r="H67" s="46"/>
      <c r="I67" s="46"/>
      <c r="J67" s="46"/>
      <c r="K67" s="46"/>
      <c r="L67" s="46"/>
      <c r="M67" s="46" t="str">
        <f aca="false">IF(B67="","",IF(H67&lt;&gt;"Yes","No",IF(C67=SUMPRODUCT(MAX(($B$2:$B$501=B67)*($H$2:$H$501="Yes")*$C$2:$C$501)),"Yes","No")))</f>
        <v/>
      </c>
      <c r="N67" s="46" t="str">
        <f aca="false">IF(B67="","",IF(H67&lt;&gt;"Yes","Not frozen",IF(AND(J67="Yes",K67="Yes",L67="Yes"),"Complete","Incomplete")))</f>
        <v/>
      </c>
      <c r="O67" s="46" t="str">
        <f aca="false">IF(B67="","",IF(OR(F67="Simbli",F67="Shared folder"),"Yes","No"))</f>
        <v/>
      </c>
      <c r="P67" s="46"/>
    </row>
    <row r="68" customFormat="false" ht="15" hidden="false" customHeight="false" outlineLevel="0" collapsed="false">
      <c r="A68" s="46" t="s">
        <v>2394</v>
      </c>
      <c r="B68" s="46"/>
      <c r="C68" s="49" t="n">
        <f aca="false">IF(OR(B68="",D68=""),0,COUNTIFS($B$2:$B$501,B68,$D$2:$D$501,"&lt;"&amp;D68)+COUNTIFS($B$2:$B$501,B68,$D$2:$D$501,D68,$A$2:$A$501,"&lt;"&amp;A68)+1)</f>
        <v>0</v>
      </c>
      <c r="D68" s="46"/>
      <c r="E68" s="46"/>
      <c r="F68" s="46"/>
      <c r="G68" s="46"/>
      <c r="H68" s="46"/>
      <c r="I68" s="46"/>
      <c r="J68" s="46"/>
      <c r="K68" s="46"/>
      <c r="L68" s="46"/>
      <c r="M68" s="46" t="str">
        <f aca="false">IF(B68="","",IF(H68&lt;&gt;"Yes","No",IF(C68=SUMPRODUCT(MAX(($B$2:$B$501=B68)*($H$2:$H$501="Yes")*$C$2:$C$501)),"Yes","No")))</f>
        <v/>
      </c>
      <c r="N68" s="46" t="str">
        <f aca="false">IF(B68="","",IF(H68&lt;&gt;"Yes","Not frozen",IF(AND(J68="Yes",K68="Yes",L68="Yes"),"Complete","Incomplete")))</f>
        <v/>
      </c>
      <c r="O68" s="46" t="str">
        <f aca="false">IF(B68="","",IF(OR(F68="Simbli",F68="Shared folder"),"Yes","No"))</f>
        <v/>
      </c>
      <c r="P68" s="46"/>
    </row>
    <row r="69" customFormat="false" ht="15" hidden="false" customHeight="false" outlineLevel="0" collapsed="false">
      <c r="A69" s="46" t="s">
        <v>2395</v>
      </c>
      <c r="B69" s="46"/>
      <c r="C69" s="49" t="n">
        <f aca="false">IF(OR(B69="",D69=""),0,COUNTIFS($B$2:$B$501,B69,$D$2:$D$501,"&lt;"&amp;D69)+COUNTIFS($B$2:$B$501,B69,$D$2:$D$501,D69,$A$2:$A$501,"&lt;"&amp;A69)+1)</f>
        <v>0</v>
      </c>
      <c r="D69" s="46"/>
      <c r="E69" s="46"/>
      <c r="F69" s="46"/>
      <c r="G69" s="46"/>
      <c r="H69" s="46"/>
      <c r="I69" s="46"/>
      <c r="J69" s="46"/>
      <c r="K69" s="46"/>
      <c r="L69" s="46"/>
      <c r="M69" s="46" t="str">
        <f aca="false">IF(B69="","",IF(H69&lt;&gt;"Yes","No",IF(C69=SUMPRODUCT(MAX(($B$2:$B$501=B69)*($H$2:$H$501="Yes")*$C$2:$C$501)),"Yes","No")))</f>
        <v/>
      </c>
      <c r="N69" s="46" t="str">
        <f aca="false">IF(B69="","",IF(H69&lt;&gt;"Yes","Not frozen",IF(AND(J69="Yes",K69="Yes",L69="Yes"),"Complete","Incomplete")))</f>
        <v/>
      </c>
      <c r="O69" s="46" t="str">
        <f aca="false">IF(B69="","",IF(OR(F69="Simbli",F69="Shared folder"),"Yes","No"))</f>
        <v/>
      </c>
      <c r="P69" s="46"/>
    </row>
    <row r="70" customFormat="false" ht="15" hidden="false" customHeight="false" outlineLevel="0" collapsed="false">
      <c r="A70" s="46" t="s">
        <v>2396</v>
      </c>
      <c r="B70" s="46"/>
      <c r="C70" s="49" t="n">
        <f aca="false">IF(OR(B70="",D70=""),0,COUNTIFS($B$2:$B$501,B70,$D$2:$D$501,"&lt;"&amp;D70)+COUNTIFS($B$2:$B$501,B70,$D$2:$D$501,D70,$A$2:$A$501,"&lt;"&amp;A70)+1)</f>
        <v>0</v>
      </c>
      <c r="D70" s="46"/>
      <c r="E70" s="46"/>
      <c r="F70" s="46"/>
      <c r="G70" s="46"/>
      <c r="H70" s="46"/>
      <c r="I70" s="46"/>
      <c r="J70" s="46"/>
      <c r="K70" s="46"/>
      <c r="L70" s="46"/>
      <c r="M70" s="46" t="str">
        <f aca="false">IF(B70="","",IF(H70&lt;&gt;"Yes","No",IF(C70=SUMPRODUCT(MAX(($B$2:$B$501=B70)*($H$2:$H$501="Yes")*$C$2:$C$501)),"Yes","No")))</f>
        <v/>
      </c>
      <c r="N70" s="46" t="str">
        <f aca="false">IF(B70="","",IF(H70&lt;&gt;"Yes","Not frozen",IF(AND(J70="Yes",K70="Yes",L70="Yes"),"Complete","Incomplete")))</f>
        <v/>
      </c>
      <c r="O70" s="46" t="str">
        <f aca="false">IF(B70="","",IF(OR(F70="Simbli",F70="Shared folder"),"Yes","No"))</f>
        <v/>
      </c>
      <c r="P70" s="46"/>
    </row>
    <row r="71" customFormat="false" ht="15" hidden="false" customHeight="false" outlineLevel="0" collapsed="false">
      <c r="A71" s="46" t="s">
        <v>2397</v>
      </c>
      <c r="B71" s="46"/>
      <c r="C71" s="49" t="n">
        <f aca="false">IF(OR(B71="",D71=""),0,COUNTIFS($B$2:$B$501,B71,$D$2:$D$501,"&lt;"&amp;D71)+COUNTIFS($B$2:$B$501,B71,$D$2:$D$501,D71,$A$2:$A$501,"&lt;"&amp;A71)+1)</f>
        <v>0</v>
      </c>
      <c r="D71" s="46"/>
      <c r="E71" s="46"/>
      <c r="F71" s="46"/>
      <c r="G71" s="46"/>
      <c r="H71" s="46"/>
      <c r="I71" s="46"/>
      <c r="J71" s="46"/>
      <c r="K71" s="46"/>
      <c r="L71" s="46"/>
      <c r="M71" s="46" t="str">
        <f aca="false">IF(B71="","",IF(H71&lt;&gt;"Yes","No",IF(C71=SUMPRODUCT(MAX(($B$2:$B$501=B71)*($H$2:$H$501="Yes")*$C$2:$C$501)),"Yes","No")))</f>
        <v/>
      </c>
      <c r="N71" s="46" t="str">
        <f aca="false">IF(B71="","",IF(H71&lt;&gt;"Yes","Not frozen",IF(AND(J71="Yes",K71="Yes",L71="Yes"),"Complete","Incomplete")))</f>
        <v/>
      </c>
      <c r="O71" s="46" t="str">
        <f aca="false">IF(B71="","",IF(OR(F71="Simbli",F71="Shared folder"),"Yes","No"))</f>
        <v/>
      </c>
      <c r="P71" s="46"/>
    </row>
    <row r="72" customFormat="false" ht="15" hidden="false" customHeight="false" outlineLevel="0" collapsed="false">
      <c r="A72" s="46" t="s">
        <v>2398</v>
      </c>
      <c r="B72" s="46"/>
      <c r="C72" s="49" t="n">
        <f aca="false">IF(OR(B72="",D72=""),0,COUNTIFS($B$2:$B$501,B72,$D$2:$D$501,"&lt;"&amp;D72)+COUNTIFS($B$2:$B$501,B72,$D$2:$D$501,D72,$A$2:$A$501,"&lt;"&amp;A72)+1)</f>
        <v>0</v>
      </c>
      <c r="D72" s="46"/>
      <c r="E72" s="46"/>
      <c r="F72" s="46"/>
      <c r="G72" s="46"/>
      <c r="H72" s="46"/>
      <c r="I72" s="46"/>
      <c r="J72" s="46"/>
      <c r="K72" s="46"/>
      <c r="L72" s="46"/>
      <c r="M72" s="46" t="str">
        <f aca="false">IF(B72="","",IF(H72&lt;&gt;"Yes","No",IF(C72=SUMPRODUCT(MAX(($B$2:$B$501=B72)*($H$2:$H$501="Yes")*$C$2:$C$501)),"Yes","No")))</f>
        <v/>
      </c>
      <c r="N72" s="46" t="str">
        <f aca="false">IF(B72="","",IF(H72&lt;&gt;"Yes","Not frozen",IF(AND(J72="Yes",K72="Yes",L72="Yes"),"Complete","Incomplete")))</f>
        <v/>
      </c>
      <c r="O72" s="46" t="str">
        <f aca="false">IF(B72="","",IF(OR(F72="Simbli",F72="Shared folder"),"Yes","No"))</f>
        <v/>
      </c>
      <c r="P72" s="46"/>
    </row>
    <row r="73" customFormat="false" ht="15" hidden="false" customHeight="false" outlineLevel="0" collapsed="false">
      <c r="A73" s="46" t="s">
        <v>2399</v>
      </c>
      <c r="B73" s="46"/>
      <c r="C73" s="49" t="n">
        <f aca="false">IF(OR(B73="",D73=""),0,COUNTIFS($B$2:$B$501,B73,$D$2:$D$501,"&lt;"&amp;D73)+COUNTIFS($B$2:$B$501,B73,$D$2:$D$501,D73,$A$2:$A$501,"&lt;"&amp;A73)+1)</f>
        <v>0</v>
      </c>
      <c r="D73" s="46"/>
      <c r="E73" s="46"/>
      <c r="F73" s="46"/>
      <c r="G73" s="46"/>
      <c r="H73" s="46"/>
      <c r="I73" s="46"/>
      <c r="J73" s="46"/>
      <c r="K73" s="46"/>
      <c r="L73" s="46"/>
      <c r="M73" s="46" t="str">
        <f aca="false">IF(B73="","",IF(H73&lt;&gt;"Yes","No",IF(C73=SUMPRODUCT(MAX(($B$2:$B$501=B73)*($H$2:$H$501="Yes")*$C$2:$C$501)),"Yes","No")))</f>
        <v/>
      </c>
      <c r="N73" s="46" t="str">
        <f aca="false">IF(B73="","",IF(H73&lt;&gt;"Yes","Not frozen",IF(AND(J73="Yes",K73="Yes",L73="Yes"),"Complete","Incomplete")))</f>
        <v/>
      </c>
      <c r="O73" s="46" t="str">
        <f aca="false">IF(B73="","",IF(OR(F73="Simbli",F73="Shared folder"),"Yes","No"))</f>
        <v/>
      </c>
      <c r="P73" s="46"/>
    </row>
    <row r="74" customFormat="false" ht="15" hidden="false" customHeight="false" outlineLevel="0" collapsed="false">
      <c r="A74" s="46" t="s">
        <v>2400</v>
      </c>
      <c r="B74" s="46"/>
      <c r="C74" s="49" t="n">
        <f aca="false">IF(OR(B74="",D74=""),0,COUNTIFS($B$2:$B$501,B74,$D$2:$D$501,"&lt;"&amp;D74)+COUNTIFS($B$2:$B$501,B74,$D$2:$D$501,D74,$A$2:$A$501,"&lt;"&amp;A74)+1)</f>
        <v>0</v>
      </c>
      <c r="D74" s="46"/>
      <c r="E74" s="46"/>
      <c r="F74" s="46"/>
      <c r="G74" s="46"/>
      <c r="H74" s="46"/>
      <c r="I74" s="46"/>
      <c r="J74" s="46"/>
      <c r="K74" s="46"/>
      <c r="L74" s="46"/>
      <c r="M74" s="46" t="str">
        <f aca="false">IF(B74="","",IF(H74&lt;&gt;"Yes","No",IF(C74=SUMPRODUCT(MAX(($B$2:$B$501=B74)*($H$2:$H$501="Yes")*$C$2:$C$501)),"Yes","No")))</f>
        <v/>
      </c>
      <c r="N74" s="46" t="str">
        <f aca="false">IF(B74="","",IF(H74&lt;&gt;"Yes","Not frozen",IF(AND(J74="Yes",K74="Yes",L74="Yes"),"Complete","Incomplete")))</f>
        <v/>
      </c>
      <c r="O74" s="46" t="str">
        <f aca="false">IF(B74="","",IF(OR(F74="Simbli",F74="Shared folder"),"Yes","No"))</f>
        <v/>
      </c>
      <c r="P74" s="46"/>
    </row>
    <row r="75" customFormat="false" ht="15" hidden="false" customHeight="false" outlineLevel="0" collapsed="false">
      <c r="A75" s="46" t="s">
        <v>2401</v>
      </c>
      <c r="B75" s="46"/>
      <c r="C75" s="49" t="n">
        <f aca="false">IF(OR(B75="",D75=""),0,COUNTIFS($B$2:$B$501,B75,$D$2:$D$501,"&lt;"&amp;D75)+COUNTIFS($B$2:$B$501,B75,$D$2:$D$501,D75,$A$2:$A$501,"&lt;"&amp;A75)+1)</f>
        <v>0</v>
      </c>
      <c r="D75" s="46"/>
      <c r="E75" s="46"/>
      <c r="F75" s="46"/>
      <c r="G75" s="46"/>
      <c r="H75" s="46"/>
      <c r="I75" s="46"/>
      <c r="J75" s="46"/>
      <c r="K75" s="46"/>
      <c r="L75" s="46"/>
      <c r="M75" s="46" t="str">
        <f aca="false">IF(B75="","",IF(H75&lt;&gt;"Yes","No",IF(C75=SUMPRODUCT(MAX(($B$2:$B$501=B75)*($H$2:$H$501="Yes")*$C$2:$C$501)),"Yes","No")))</f>
        <v/>
      </c>
      <c r="N75" s="46" t="str">
        <f aca="false">IF(B75="","",IF(H75&lt;&gt;"Yes","Not frozen",IF(AND(J75="Yes",K75="Yes",L75="Yes"),"Complete","Incomplete")))</f>
        <v/>
      </c>
      <c r="O75" s="46" t="str">
        <f aca="false">IF(B75="","",IF(OR(F75="Simbli",F75="Shared folder"),"Yes","No"))</f>
        <v/>
      </c>
      <c r="P75" s="46"/>
    </row>
    <row r="76" customFormat="false" ht="15" hidden="false" customHeight="false" outlineLevel="0" collapsed="false">
      <c r="A76" s="46" t="s">
        <v>2402</v>
      </c>
      <c r="B76" s="46"/>
      <c r="C76" s="49" t="n">
        <f aca="false">IF(OR(B76="",D76=""),0,COUNTIFS($B$2:$B$501,B76,$D$2:$D$501,"&lt;"&amp;D76)+COUNTIFS($B$2:$B$501,B76,$D$2:$D$501,D76,$A$2:$A$501,"&lt;"&amp;A76)+1)</f>
        <v>0</v>
      </c>
      <c r="D76" s="46"/>
      <c r="E76" s="46"/>
      <c r="F76" s="46"/>
      <c r="G76" s="46"/>
      <c r="H76" s="46"/>
      <c r="I76" s="46"/>
      <c r="J76" s="46"/>
      <c r="K76" s="46"/>
      <c r="L76" s="46"/>
      <c r="M76" s="46" t="str">
        <f aca="false">IF(B76="","",IF(H76&lt;&gt;"Yes","No",IF(C76=SUMPRODUCT(MAX(($B$2:$B$501=B76)*($H$2:$H$501="Yes")*$C$2:$C$501)),"Yes","No")))</f>
        <v/>
      </c>
      <c r="N76" s="46" t="str">
        <f aca="false">IF(B76="","",IF(H76&lt;&gt;"Yes","Not frozen",IF(AND(J76="Yes",K76="Yes",L76="Yes"),"Complete","Incomplete")))</f>
        <v/>
      </c>
      <c r="O76" s="46" t="str">
        <f aca="false">IF(B76="","",IF(OR(F76="Simbli",F76="Shared folder"),"Yes","No"))</f>
        <v/>
      </c>
      <c r="P76" s="46"/>
    </row>
    <row r="77" customFormat="false" ht="15" hidden="false" customHeight="false" outlineLevel="0" collapsed="false">
      <c r="A77" s="46" t="s">
        <v>2403</v>
      </c>
      <c r="B77" s="46"/>
      <c r="C77" s="49" t="n">
        <f aca="false">IF(OR(B77="",D77=""),0,COUNTIFS($B$2:$B$501,B77,$D$2:$D$501,"&lt;"&amp;D77)+COUNTIFS($B$2:$B$501,B77,$D$2:$D$501,D77,$A$2:$A$501,"&lt;"&amp;A77)+1)</f>
        <v>0</v>
      </c>
      <c r="D77" s="46"/>
      <c r="E77" s="46"/>
      <c r="F77" s="46"/>
      <c r="G77" s="46"/>
      <c r="H77" s="46"/>
      <c r="I77" s="46"/>
      <c r="J77" s="46"/>
      <c r="K77" s="46"/>
      <c r="L77" s="46"/>
      <c r="M77" s="46" t="str">
        <f aca="false">IF(B77="","",IF(H77&lt;&gt;"Yes","No",IF(C77=SUMPRODUCT(MAX(($B$2:$B$501=B77)*($H$2:$H$501="Yes")*$C$2:$C$501)),"Yes","No")))</f>
        <v/>
      </c>
      <c r="N77" s="46" t="str">
        <f aca="false">IF(B77="","",IF(H77&lt;&gt;"Yes","Not frozen",IF(AND(J77="Yes",K77="Yes",L77="Yes"),"Complete","Incomplete")))</f>
        <v/>
      </c>
      <c r="O77" s="46" t="str">
        <f aca="false">IF(B77="","",IF(OR(F77="Simbli",F77="Shared folder"),"Yes","No"))</f>
        <v/>
      </c>
      <c r="P77" s="46"/>
    </row>
    <row r="78" customFormat="false" ht="15" hidden="false" customHeight="false" outlineLevel="0" collapsed="false">
      <c r="A78" s="46" t="s">
        <v>2404</v>
      </c>
      <c r="B78" s="46"/>
      <c r="C78" s="49" t="n">
        <f aca="false">IF(OR(B78="",D78=""),0,COUNTIFS($B$2:$B$501,B78,$D$2:$D$501,"&lt;"&amp;D78)+COUNTIFS($B$2:$B$501,B78,$D$2:$D$501,D78,$A$2:$A$501,"&lt;"&amp;A78)+1)</f>
        <v>0</v>
      </c>
      <c r="D78" s="46"/>
      <c r="E78" s="46"/>
      <c r="F78" s="46"/>
      <c r="G78" s="46"/>
      <c r="H78" s="46"/>
      <c r="I78" s="46"/>
      <c r="J78" s="46"/>
      <c r="K78" s="46"/>
      <c r="L78" s="46"/>
      <c r="M78" s="46" t="str">
        <f aca="false">IF(B78="","",IF(H78&lt;&gt;"Yes","No",IF(C78=SUMPRODUCT(MAX(($B$2:$B$501=B78)*($H$2:$H$501="Yes")*$C$2:$C$501)),"Yes","No")))</f>
        <v/>
      </c>
      <c r="N78" s="46" t="str">
        <f aca="false">IF(B78="","",IF(H78&lt;&gt;"Yes","Not frozen",IF(AND(J78="Yes",K78="Yes",L78="Yes"),"Complete","Incomplete")))</f>
        <v/>
      </c>
      <c r="O78" s="46" t="str">
        <f aca="false">IF(B78="","",IF(OR(F78="Simbli",F78="Shared folder"),"Yes","No"))</f>
        <v/>
      </c>
      <c r="P78" s="46"/>
    </row>
    <row r="79" customFormat="false" ht="15" hidden="false" customHeight="false" outlineLevel="0" collapsed="false">
      <c r="A79" s="46" t="s">
        <v>2405</v>
      </c>
      <c r="B79" s="46"/>
      <c r="C79" s="49" t="n">
        <f aca="false">IF(OR(B79="",D79=""),0,COUNTIFS($B$2:$B$501,B79,$D$2:$D$501,"&lt;"&amp;D79)+COUNTIFS($B$2:$B$501,B79,$D$2:$D$501,D79,$A$2:$A$501,"&lt;"&amp;A79)+1)</f>
        <v>0</v>
      </c>
      <c r="D79" s="46"/>
      <c r="E79" s="46"/>
      <c r="F79" s="46"/>
      <c r="G79" s="46"/>
      <c r="H79" s="46"/>
      <c r="I79" s="46"/>
      <c r="J79" s="46"/>
      <c r="K79" s="46"/>
      <c r="L79" s="46"/>
      <c r="M79" s="46" t="str">
        <f aca="false">IF(B79="","",IF(H79&lt;&gt;"Yes","No",IF(C79=SUMPRODUCT(MAX(($B$2:$B$501=B79)*($H$2:$H$501="Yes")*$C$2:$C$501)),"Yes","No")))</f>
        <v/>
      </c>
      <c r="N79" s="46" t="str">
        <f aca="false">IF(B79="","",IF(H79&lt;&gt;"Yes","Not frozen",IF(AND(J79="Yes",K79="Yes",L79="Yes"),"Complete","Incomplete")))</f>
        <v/>
      </c>
      <c r="O79" s="46" t="str">
        <f aca="false">IF(B79="","",IF(OR(F79="Simbli",F79="Shared folder"),"Yes","No"))</f>
        <v/>
      </c>
      <c r="P79" s="46"/>
    </row>
    <row r="80" customFormat="false" ht="15" hidden="false" customHeight="false" outlineLevel="0" collapsed="false">
      <c r="A80" s="46" t="s">
        <v>2406</v>
      </c>
      <c r="B80" s="46"/>
      <c r="C80" s="49" t="n">
        <f aca="false">IF(OR(B80="",D80=""),0,COUNTIFS($B$2:$B$501,B80,$D$2:$D$501,"&lt;"&amp;D80)+COUNTIFS($B$2:$B$501,B80,$D$2:$D$501,D80,$A$2:$A$501,"&lt;"&amp;A80)+1)</f>
        <v>0</v>
      </c>
      <c r="D80" s="46"/>
      <c r="E80" s="46"/>
      <c r="F80" s="46"/>
      <c r="G80" s="46"/>
      <c r="H80" s="46"/>
      <c r="I80" s="46"/>
      <c r="J80" s="46"/>
      <c r="K80" s="46"/>
      <c r="L80" s="46"/>
      <c r="M80" s="46" t="str">
        <f aca="false">IF(B80="","",IF(H80&lt;&gt;"Yes","No",IF(C80=SUMPRODUCT(MAX(($B$2:$B$501=B80)*($H$2:$H$501="Yes")*$C$2:$C$501)),"Yes","No")))</f>
        <v/>
      </c>
      <c r="N80" s="46" t="str">
        <f aca="false">IF(B80="","",IF(H80&lt;&gt;"Yes","Not frozen",IF(AND(J80="Yes",K80="Yes",L80="Yes"),"Complete","Incomplete")))</f>
        <v/>
      </c>
      <c r="O80" s="46" t="str">
        <f aca="false">IF(B80="","",IF(OR(F80="Simbli",F80="Shared folder"),"Yes","No"))</f>
        <v/>
      </c>
      <c r="P80" s="46"/>
    </row>
    <row r="81" customFormat="false" ht="15" hidden="false" customHeight="false" outlineLevel="0" collapsed="false">
      <c r="A81" s="46" t="s">
        <v>2407</v>
      </c>
      <c r="B81" s="46"/>
      <c r="C81" s="49" t="n">
        <f aca="false">IF(OR(B81="",D81=""),0,COUNTIFS($B$2:$B$501,B81,$D$2:$D$501,"&lt;"&amp;D81)+COUNTIFS($B$2:$B$501,B81,$D$2:$D$501,D81,$A$2:$A$501,"&lt;"&amp;A81)+1)</f>
        <v>0</v>
      </c>
      <c r="D81" s="46"/>
      <c r="E81" s="46"/>
      <c r="F81" s="46"/>
      <c r="G81" s="46"/>
      <c r="H81" s="46"/>
      <c r="I81" s="46"/>
      <c r="J81" s="46"/>
      <c r="K81" s="46"/>
      <c r="L81" s="46"/>
      <c r="M81" s="46" t="str">
        <f aca="false">IF(B81="","",IF(H81&lt;&gt;"Yes","No",IF(C81=SUMPRODUCT(MAX(($B$2:$B$501=B81)*($H$2:$H$501="Yes")*$C$2:$C$501)),"Yes","No")))</f>
        <v/>
      </c>
      <c r="N81" s="46" t="str">
        <f aca="false">IF(B81="","",IF(H81&lt;&gt;"Yes","Not frozen",IF(AND(J81="Yes",K81="Yes",L81="Yes"),"Complete","Incomplete")))</f>
        <v/>
      </c>
      <c r="O81" s="46" t="str">
        <f aca="false">IF(B81="","",IF(OR(F81="Simbli",F81="Shared folder"),"Yes","No"))</f>
        <v/>
      </c>
      <c r="P81" s="46"/>
    </row>
    <row r="82" customFormat="false" ht="15" hidden="false" customHeight="false" outlineLevel="0" collapsed="false">
      <c r="A82" s="46" t="s">
        <v>2408</v>
      </c>
      <c r="B82" s="46"/>
      <c r="C82" s="49" t="n">
        <f aca="false">IF(OR(B82="",D82=""),0,COUNTIFS($B$2:$B$501,B82,$D$2:$D$501,"&lt;"&amp;D82)+COUNTIFS($B$2:$B$501,B82,$D$2:$D$501,D82,$A$2:$A$501,"&lt;"&amp;A82)+1)</f>
        <v>0</v>
      </c>
      <c r="D82" s="46"/>
      <c r="E82" s="46"/>
      <c r="F82" s="46"/>
      <c r="G82" s="46"/>
      <c r="H82" s="46"/>
      <c r="I82" s="46"/>
      <c r="J82" s="46"/>
      <c r="K82" s="46"/>
      <c r="L82" s="46"/>
      <c r="M82" s="46" t="str">
        <f aca="false">IF(B82="","",IF(H82&lt;&gt;"Yes","No",IF(C82=SUMPRODUCT(MAX(($B$2:$B$501=B82)*($H$2:$H$501="Yes")*$C$2:$C$501)),"Yes","No")))</f>
        <v/>
      </c>
      <c r="N82" s="46" t="str">
        <f aca="false">IF(B82="","",IF(H82&lt;&gt;"Yes","Not frozen",IF(AND(J82="Yes",K82="Yes",L82="Yes"),"Complete","Incomplete")))</f>
        <v/>
      </c>
      <c r="O82" s="46" t="str">
        <f aca="false">IF(B82="","",IF(OR(F82="Simbli",F82="Shared folder"),"Yes","No"))</f>
        <v/>
      </c>
      <c r="P82" s="46"/>
    </row>
    <row r="83" customFormat="false" ht="15" hidden="false" customHeight="false" outlineLevel="0" collapsed="false">
      <c r="A83" s="46" t="s">
        <v>2409</v>
      </c>
      <c r="B83" s="46"/>
      <c r="C83" s="49" t="n">
        <f aca="false">IF(OR(B83="",D83=""),0,COUNTIFS($B$2:$B$501,B83,$D$2:$D$501,"&lt;"&amp;D83)+COUNTIFS($B$2:$B$501,B83,$D$2:$D$501,D83,$A$2:$A$501,"&lt;"&amp;A83)+1)</f>
        <v>0</v>
      </c>
      <c r="D83" s="46"/>
      <c r="E83" s="46"/>
      <c r="F83" s="46"/>
      <c r="G83" s="46"/>
      <c r="H83" s="46"/>
      <c r="I83" s="46"/>
      <c r="J83" s="46"/>
      <c r="K83" s="46"/>
      <c r="L83" s="46"/>
      <c r="M83" s="46" t="str">
        <f aca="false">IF(B83="","",IF(H83&lt;&gt;"Yes","No",IF(C83=SUMPRODUCT(MAX(($B$2:$B$501=B83)*($H$2:$H$501="Yes")*$C$2:$C$501)),"Yes","No")))</f>
        <v/>
      </c>
      <c r="N83" s="46" t="str">
        <f aca="false">IF(B83="","",IF(H83&lt;&gt;"Yes","Not frozen",IF(AND(J83="Yes",K83="Yes",L83="Yes"),"Complete","Incomplete")))</f>
        <v/>
      </c>
      <c r="O83" s="46" t="str">
        <f aca="false">IF(B83="","",IF(OR(F83="Simbli",F83="Shared folder"),"Yes","No"))</f>
        <v/>
      </c>
      <c r="P83" s="46"/>
    </row>
    <row r="84" customFormat="false" ht="15" hidden="false" customHeight="false" outlineLevel="0" collapsed="false">
      <c r="A84" s="46" t="s">
        <v>2410</v>
      </c>
      <c r="B84" s="46"/>
      <c r="C84" s="49" t="n">
        <f aca="false">IF(OR(B84="",D84=""),0,COUNTIFS($B$2:$B$501,B84,$D$2:$D$501,"&lt;"&amp;D84)+COUNTIFS($B$2:$B$501,B84,$D$2:$D$501,D84,$A$2:$A$501,"&lt;"&amp;A84)+1)</f>
        <v>0</v>
      </c>
      <c r="D84" s="46"/>
      <c r="E84" s="46"/>
      <c r="F84" s="46"/>
      <c r="G84" s="46"/>
      <c r="H84" s="46"/>
      <c r="I84" s="46"/>
      <c r="J84" s="46"/>
      <c r="K84" s="46"/>
      <c r="L84" s="46"/>
      <c r="M84" s="46" t="str">
        <f aca="false">IF(B84="","",IF(H84&lt;&gt;"Yes","No",IF(C84=SUMPRODUCT(MAX(($B$2:$B$501=B84)*($H$2:$H$501="Yes")*$C$2:$C$501)),"Yes","No")))</f>
        <v/>
      </c>
      <c r="N84" s="46" t="str">
        <f aca="false">IF(B84="","",IF(H84&lt;&gt;"Yes","Not frozen",IF(AND(J84="Yes",K84="Yes",L84="Yes"),"Complete","Incomplete")))</f>
        <v/>
      </c>
      <c r="O84" s="46" t="str">
        <f aca="false">IF(B84="","",IF(OR(F84="Simbli",F84="Shared folder"),"Yes","No"))</f>
        <v/>
      </c>
      <c r="P84" s="46"/>
    </row>
    <row r="85" customFormat="false" ht="15" hidden="false" customHeight="false" outlineLevel="0" collapsed="false">
      <c r="A85" s="46" t="s">
        <v>2411</v>
      </c>
      <c r="B85" s="46"/>
      <c r="C85" s="49" t="n">
        <f aca="false">IF(OR(B85="",D85=""),0,COUNTIFS($B$2:$B$501,B85,$D$2:$D$501,"&lt;"&amp;D85)+COUNTIFS($B$2:$B$501,B85,$D$2:$D$501,D85,$A$2:$A$501,"&lt;"&amp;A85)+1)</f>
        <v>0</v>
      </c>
      <c r="D85" s="46"/>
      <c r="E85" s="46"/>
      <c r="F85" s="46"/>
      <c r="G85" s="46"/>
      <c r="H85" s="46"/>
      <c r="I85" s="46"/>
      <c r="J85" s="46"/>
      <c r="K85" s="46"/>
      <c r="L85" s="46"/>
      <c r="M85" s="46" t="str">
        <f aca="false">IF(B85="","",IF(H85&lt;&gt;"Yes","No",IF(C85=SUMPRODUCT(MAX(($B$2:$B$501=B85)*($H$2:$H$501="Yes")*$C$2:$C$501)),"Yes","No")))</f>
        <v/>
      </c>
      <c r="N85" s="46" t="str">
        <f aca="false">IF(B85="","",IF(H85&lt;&gt;"Yes","Not frozen",IF(AND(J85="Yes",K85="Yes",L85="Yes"),"Complete","Incomplete")))</f>
        <v/>
      </c>
      <c r="O85" s="46" t="str">
        <f aca="false">IF(B85="","",IF(OR(F85="Simbli",F85="Shared folder"),"Yes","No"))</f>
        <v/>
      </c>
      <c r="P85" s="46"/>
    </row>
    <row r="86" customFormat="false" ht="15" hidden="false" customHeight="false" outlineLevel="0" collapsed="false">
      <c r="A86" s="46" t="s">
        <v>2412</v>
      </c>
      <c r="B86" s="46"/>
      <c r="C86" s="49" t="n">
        <f aca="false">IF(OR(B86="",D86=""),0,COUNTIFS($B$2:$B$501,B86,$D$2:$D$501,"&lt;"&amp;D86)+COUNTIFS($B$2:$B$501,B86,$D$2:$D$501,D86,$A$2:$A$501,"&lt;"&amp;A86)+1)</f>
        <v>0</v>
      </c>
      <c r="D86" s="46"/>
      <c r="E86" s="46"/>
      <c r="F86" s="46"/>
      <c r="G86" s="46"/>
      <c r="H86" s="46"/>
      <c r="I86" s="46"/>
      <c r="J86" s="46"/>
      <c r="K86" s="46"/>
      <c r="L86" s="46"/>
      <c r="M86" s="46" t="str">
        <f aca="false">IF(B86="","",IF(H86&lt;&gt;"Yes","No",IF(C86=SUMPRODUCT(MAX(($B$2:$B$501=B86)*($H$2:$H$501="Yes")*$C$2:$C$501)),"Yes","No")))</f>
        <v/>
      </c>
      <c r="N86" s="46" t="str">
        <f aca="false">IF(B86="","",IF(H86&lt;&gt;"Yes","Not frozen",IF(AND(J86="Yes",K86="Yes",L86="Yes"),"Complete","Incomplete")))</f>
        <v/>
      </c>
      <c r="O86" s="46" t="str">
        <f aca="false">IF(B86="","",IF(OR(F86="Simbli",F86="Shared folder"),"Yes","No"))</f>
        <v/>
      </c>
      <c r="P86" s="46"/>
    </row>
    <row r="87" customFormat="false" ht="15" hidden="false" customHeight="false" outlineLevel="0" collapsed="false">
      <c r="A87" s="46" t="s">
        <v>2413</v>
      </c>
      <c r="B87" s="46"/>
      <c r="C87" s="49" t="n">
        <f aca="false">IF(OR(B87="",D87=""),0,COUNTIFS($B$2:$B$501,B87,$D$2:$D$501,"&lt;"&amp;D87)+COUNTIFS($B$2:$B$501,B87,$D$2:$D$501,D87,$A$2:$A$501,"&lt;"&amp;A87)+1)</f>
        <v>0</v>
      </c>
      <c r="D87" s="46"/>
      <c r="E87" s="46"/>
      <c r="F87" s="46"/>
      <c r="G87" s="46"/>
      <c r="H87" s="46"/>
      <c r="I87" s="46"/>
      <c r="J87" s="46"/>
      <c r="K87" s="46"/>
      <c r="L87" s="46"/>
      <c r="M87" s="46" t="str">
        <f aca="false">IF(B87="","",IF(H87&lt;&gt;"Yes","No",IF(C87=SUMPRODUCT(MAX(($B$2:$B$501=B87)*($H$2:$H$501="Yes")*$C$2:$C$501)),"Yes","No")))</f>
        <v/>
      </c>
      <c r="N87" s="46" t="str">
        <f aca="false">IF(B87="","",IF(H87&lt;&gt;"Yes","Not frozen",IF(AND(J87="Yes",K87="Yes",L87="Yes"),"Complete","Incomplete")))</f>
        <v/>
      </c>
      <c r="O87" s="46" t="str">
        <f aca="false">IF(B87="","",IF(OR(F87="Simbli",F87="Shared folder"),"Yes","No"))</f>
        <v/>
      </c>
      <c r="P87" s="46"/>
    </row>
    <row r="88" customFormat="false" ht="15" hidden="false" customHeight="false" outlineLevel="0" collapsed="false">
      <c r="A88" s="46" t="s">
        <v>2414</v>
      </c>
      <c r="B88" s="46"/>
      <c r="C88" s="49" t="n">
        <f aca="false">IF(OR(B88="",D88=""),0,COUNTIFS($B$2:$B$501,B88,$D$2:$D$501,"&lt;"&amp;D88)+COUNTIFS($B$2:$B$501,B88,$D$2:$D$501,D88,$A$2:$A$501,"&lt;"&amp;A88)+1)</f>
        <v>0</v>
      </c>
      <c r="D88" s="46"/>
      <c r="E88" s="46"/>
      <c r="F88" s="46"/>
      <c r="G88" s="46"/>
      <c r="H88" s="46"/>
      <c r="I88" s="46"/>
      <c r="J88" s="46"/>
      <c r="K88" s="46"/>
      <c r="L88" s="46"/>
      <c r="M88" s="46" t="str">
        <f aca="false">IF(B88="","",IF(H88&lt;&gt;"Yes","No",IF(C88=SUMPRODUCT(MAX(($B$2:$B$501=B88)*($H$2:$H$501="Yes")*$C$2:$C$501)),"Yes","No")))</f>
        <v/>
      </c>
      <c r="N88" s="46" t="str">
        <f aca="false">IF(B88="","",IF(H88&lt;&gt;"Yes","Not frozen",IF(AND(J88="Yes",K88="Yes",L88="Yes"),"Complete","Incomplete")))</f>
        <v/>
      </c>
      <c r="O88" s="46" t="str">
        <f aca="false">IF(B88="","",IF(OR(F88="Simbli",F88="Shared folder"),"Yes","No"))</f>
        <v/>
      </c>
      <c r="P88" s="46"/>
    </row>
    <row r="89" customFormat="false" ht="15" hidden="false" customHeight="false" outlineLevel="0" collapsed="false">
      <c r="A89" s="46" t="s">
        <v>2415</v>
      </c>
      <c r="B89" s="46"/>
      <c r="C89" s="49" t="n">
        <f aca="false">IF(OR(B89="",D89=""),0,COUNTIFS($B$2:$B$501,B89,$D$2:$D$501,"&lt;"&amp;D89)+COUNTIFS($B$2:$B$501,B89,$D$2:$D$501,D89,$A$2:$A$501,"&lt;"&amp;A89)+1)</f>
        <v>0</v>
      </c>
      <c r="D89" s="46"/>
      <c r="E89" s="46"/>
      <c r="F89" s="46"/>
      <c r="G89" s="46"/>
      <c r="H89" s="46"/>
      <c r="I89" s="46"/>
      <c r="J89" s="46"/>
      <c r="K89" s="46"/>
      <c r="L89" s="46"/>
      <c r="M89" s="46" t="str">
        <f aca="false">IF(B89="","",IF(H89&lt;&gt;"Yes","No",IF(C89=SUMPRODUCT(MAX(($B$2:$B$501=B89)*($H$2:$H$501="Yes")*$C$2:$C$501)),"Yes","No")))</f>
        <v/>
      </c>
      <c r="N89" s="46" t="str">
        <f aca="false">IF(B89="","",IF(H89&lt;&gt;"Yes","Not frozen",IF(AND(J89="Yes",K89="Yes",L89="Yes"),"Complete","Incomplete")))</f>
        <v/>
      </c>
      <c r="O89" s="46" t="str">
        <f aca="false">IF(B89="","",IF(OR(F89="Simbli",F89="Shared folder"),"Yes","No"))</f>
        <v/>
      </c>
      <c r="P89" s="46"/>
    </row>
    <row r="90" customFormat="false" ht="15" hidden="false" customHeight="false" outlineLevel="0" collapsed="false">
      <c r="A90" s="46" t="s">
        <v>2416</v>
      </c>
      <c r="B90" s="46"/>
      <c r="C90" s="49" t="n">
        <f aca="false">IF(OR(B90="",D90=""),0,COUNTIFS($B$2:$B$501,B90,$D$2:$D$501,"&lt;"&amp;D90)+COUNTIFS($B$2:$B$501,B90,$D$2:$D$501,D90,$A$2:$A$501,"&lt;"&amp;A90)+1)</f>
        <v>0</v>
      </c>
      <c r="D90" s="46"/>
      <c r="E90" s="46"/>
      <c r="F90" s="46"/>
      <c r="G90" s="46"/>
      <c r="H90" s="46"/>
      <c r="I90" s="46"/>
      <c r="J90" s="46"/>
      <c r="K90" s="46"/>
      <c r="L90" s="46"/>
      <c r="M90" s="46" t="str">
        <f aca="false">IF(B90="","",IF(H90&lt;&gt;"Yes","No",IF(C90=SUMPRODUCT(MAX(($B$2:$B$501=B90)*($H$2:$H$501="Yes")*$C$2:$C$501)),"Yes","No")))</f>
        <v/>
      </c>
      <c r="N90" s="46" t="str">
        <f aca="false">IF(B90="","",IF(H90&lt;&gt;"Yes","Not frozen",IF(AND(J90="Yes",K90="Yes",L90="Yes"),"Complete","Incomplete")))</f>
        <v/>
      </c>
      <c r="O90" s="46" t="str">
        <f aca="false">IF(B90="","",IF(OR(F90="Simbli",F90="Shared folder"),"Yes","No"))</f>
        <v/>
      </c>
      <c r="P90" s="46"/>
    </row>
    <row r="91" customFormat="false" ht="15" hidden="false" customHeight="false" outlineLevel="0" collapsed="false">
      <c r="A91" s="46" t="s">
        <v>2417</v>
      </c>
      <c r="B91" s="46"/>
      <c r="C91" s="49" t="n">
        <f aca="false">IF(OR(B91="",D91=""),0,COUNTIFS($B$2:$B$501,B91,$D$2:$D$501,"&lt;"&amp;D91)+COUNTIFS($B$2:$B$501,B91,$D$2:$D$501,D91,$A$2:$A$501,"&lt;"&amp;A91)+1)</f>
        <v>0</v>
      </c>
      <c r="D91" s="46"/>
      <c r="E91" s="46"/>
      <c r="F91" s="46"/>
      <c r="G91" s="46"/>
      <c r="H91" s="46"/>
      <c r="I91" s="46"/>
      <c r="J91" s="46"/>
      <c r="K91" s="46"/>
      <c r="L91" s="46"/>
      <c r="M91" s="46" t="str">
        <f aca="false">IF(B91="","",IF(H91&lt;&gt;"Yes","No",IF(C91=SUMPRODUCT(MAX(($B$2:$B$501=B91)*($H$2:$H$501="Yes")*$C$2:$C$501)),"Yes","No")))</f>
        <v/>
      </c>
      <c r="N91" s="46" t="str">
        <f aca="false">IF(B91="","",IF(H91&lt;&gt;"Yes","Not frozen",IF(AND(J91="Yes",K91="Yes",L91="Yes"),"Complete","Incomplete")))</f>
        <v/>
      </c>
      <c r="O91" s="46" t="str">
        <f aca="false">IF(B91="","",IF(OR(F91="Simbli",F91="Shared folder"),"Yes","No"))</f>
        <v/>
      </c>
      <c r="P91" s="46"/>
    </row>
    <row r="92" customFormat="false" ht="15" hidden="false" customHeight="false" outlineLevel="0" collapsed="false">
      <c r="A92" s="46" t="s">
        <v>2418</v>
      </c>
      <c r="B92" s="46"/>
      <c r="C92" s="49" t="n">
        <f aca="false">IF(OR(B92="",D92=""),0,COUNTIFS($B$2:$B$501,B92,$D$2:$D$501,"&lt;"&amp;D92)+COUNTIFS($B$2:$B$501,B92,$D$2:$D$501,D92,$A$2:$A$501,"&lt;"&amp;A92)+1)</f>
        <v>0</v>
      </c>
      <c r="D92" s="46"/>
      <c r="E92" s="46"/>
      <c r="F92" s="46"/>
      <c r="G92" s="46"/>
      <c r="H92" s="46"/>
      <c r="I92" s="46"/>
      <c r="J92" s="46"/>
      <c r="K92" s="46"/>
      <c r="L92" s="46"/>
      <c r="M92" s="46" t="str">
        <f aca="false">IF(B92="","",IF(H92&lt;&gt;"Yes","No",IF(C92=SUMPRODUCT(MAX(($B$2:$B$501=B92)*($H$2:$H$501="Yes")*$C$2:$C$501)),"Yes","No")))</f>
        <v/>
      </c>
      <c r="N92" s="46" t="str">
        <f aca="false">IF(B92="","",IF(H92&lt;&gt;"Yes","Not frozen",IF(AND(J92="Yes",K92="Yes",L92="Yes"),"Complete","Incomplete")))</f>
        <v/>
      </c>
      <c r="O92" s="46" t="str">
        <f aca="false">IF(B92="","",IF(OR(F92="Simbli",F92="Shared folder"),"Yes","No"))</f>
        <v/>
      </c>
      <c r="P92" s="46"/>
    </row>
    <row r="93" customFormat="false" ht="15" hidden="false" customHeight="false" outlineLevel="0" collapsed="false">
      <c r="A93" s="46" t="s">
        <v>2419</v>
      </c>
      <c r="B93" s="46"/>
      <c r="C93" s="49" t="n">
        <f aca="false">IF(OR(B93="",D93=""),0,COUNTIFS($B$2:$B$501,B93,$D$2:$D$501,"&lt;"&amp;D93)+COUNTIFS($B$2:$B$501,B93,$D$2:$D$501,D93,$A$2:$A$501,"&lt;"&amp;A93)+1)</f>
        <v>0</v>
      </c>
      <c r="D93" s="46"/>
      <c r="E93" s="46"/>
      <c r="F93" s="46"/>
      <c r="G93" s="46"/>
      <c r="H93" s="46"/>
      <c r="I93" s="46"/>
      <c r="J93" s="46"/>
      <c r="K93" s="46"/>
      <c r="L93" s="46"/>
      <c r="M93" s="46" t="str">
        <f aca="false">IF(B93="","",IF(H93&lt;&gt;"Yes","No",IF(C93=SUMPRODUCT(MAX(($B$2:$B$501=B93)*($H$2:$H$501="Yes")*$C$2:$C$501)),"Yes","No")))</f>
        <v/>
      </c>
      <c r="N93" s="46" t="str">
        <f aca="false">IF(B93="","",IF(H93&lt;&gt;"Yes","Not frozen",IF(AND(J93="Yes",K93="Yes",L93="Yes"),"Complete","Incomplete")))</f>
        <v/>
      </c>
      <c r="O93" s="46" t="str">
        <f aca="false">IF(B93="","",IF(OR(F93="Simbli",F93="Shared folder"),"Yes","No"))</f>
        <v/>
      </c>
      <c r="P93" s="46"/>
    </row>
    <row r="94" customFormat="false" ht="15" hidden="false" customHeight="false" outlineLevel="0" collapsed="false">
      <c r="A94" s="46" t="s">
        <v>2420</v>
      </c>
      <c r="B94" s="46"/>
      <c r="C94" s="49" t="n">
        <f aca="false">IF(OR(B94="",D94=""),0,COUNTIFS($B$2:$B$501,B94,$D$2:$D$501,"&lt;"&amp;D94)+COUNTIFS($B$2:$B$501,B94,$D$2:$D$501,D94,$A$2:$A$501,"&lt;"&amp;A94)+1)</f>
        <v>0</v>
      </c>
      <c r="D94" s="46"/>
      <c r="E94" s="46"/>
      <c r="F94" s="46"/>
      <c r="G94" s="46"/>
      <c r="H94" s="46"/>
      <c r="I94" s="46"/>
      <c r="J94" s="46"/>
      <c r="K94" s="46"/>
      <c r="L94" s="46"/>
      <c r="M94" s="46" t="str">
        <f aca="false">IF(B94="","",IF(H94&lt;&gt;"Yes","No",IF(C94=SUMPRODUCT(MAX(($B$2:$B$501=B94)*($H$2:$H$501="Yes")*$C$2:$C$501)),"Yes","No")))</f>
        <v/>
      </c>
      <c r="N94" s="46" t="str">
        <f aca="false">IF(B94="","",IF(H94&lt;&gt;"Yes","Not frozen",IF(AND(J94="Yes",K94="Yes",L94="Yes"),"Complete","Incomplete")))</f>
        <v/>
      </c>
      <c r="O94" s="46" t="str">
        <f aca="false">IF(B94="","",IF(OR(F94="Simbli",F94="Shared folder"),"Yes","No"))</f>
        <v/>
      </c>
      <c r="P94" s="46"/>
    </row>
    <row r="95" customFormat="false" ht="15" hidden="false" customHeight="false" outlineLevel="0" collapsed="false">
      <c r="A95" s="46" t="s">
        <v>2421</v>
      </c>
      <c r="B95" s="46"/>
      <c r="C95" s="49" t="n">
        <f aca="false">IF(OR(B95="",D95=""),0,COUNTIFS($B$2:$B$501,B95,$D$2:$D$501,"&lt;"&amp;D95)+COUNTIFS($B$2:$B$501,B95,$D$2:$D$501,D95,$A$2:$A$501,"&lt;"&amp;A95)+1)</f>
        <v>0</v>
      </c>
      <c r="D95" s="46"/>
      <c r="E95" s="46"/>
      <c r="F95" s="46"/>
      <c r="G95" s="46"/>
      <c r="H95" s="46"/>
      <c r="I95" s="46"/>
      <c r="J95" s="46"/>
      <c r="K95" s="46"/>
      <c r="L95" s="46"/>
      <c r="M95" s="46" t="str">
        <f aca="false">IF(B95="","",IF(H95&lt;&gt;"Yes","No",IF(C95=SUMPRODUCT(MAX(($B$2:$B$501=B95)*($H$2:$H$501="Yes")*$C$2:$C$501)),"Yes","No")))</f>
        <v/>
      </c>
      <c r="N95" s="46" t="str">
        <f aca="false">IF(B95="","",IF(H95&lt;&gt;"Yes","Not frozen",IF(AND(J95="Yes",K95="Yes",L95="Yes"),"Complete","Incomplete")))</f>
        <v/>
      </c>
      <c r="O95" s="46" t="str">
        <f aca="false">IF(B95="","",IF(OR(F95="Simbli",F95="Shared folder"),"Yes","No"))</f>
        <v/>
      </c>
      <c r="P95" s="46"/>
    </row>
    <row r="96" customFormat="false" ht="15" hidden="false" customHeight="false" outlineLevel="0" collapsed="false">
      <c r="A96" s="46" t="s">
        <v>2422</v>
      </c>
      <c r="B96" s="46"/>
      <c r="C96" s="49" t="n">
        <f aca="false">IF(OR(B96="",D96=""),0,COUNTIFS($B$2:$B$501,B96,$D$2:$D$501,"&lt;"&amp;D96)+COUNTIFS($B$2:$B$501,B96,$D$2:$D$501,D96,$A$2:$A$501,"&lt;"&amp;A96)+1)</f>
        <v>0</v>
      </c>
      <c r="D96" s="46"/>
      <c r="E96" s="46"/>
      <c r="F96" s="46"/>
      <c r="G96" s="46"/>
      <c r="H96" s="46"/>
      <c r="I96" s="46"/>
      <c r="J96" s="46"/>
      <c r="K96" s="46"/>
      <c r="L96" s="46"/>
      <c r="M96" s="46" t="str">
        <f aca="false">IF(B96="","",IF(H96&lt;&gt;"Yes","No",IF(C96=SUMPRODUCT(MAX(($B$2:$B$501=B96)*($H$2:$H$501="Yes")*$C$2:$C$501)),"Yes","No")))</f>
        <v/>
      </c>
      <c r="N96" s="46" t="str">
        <f aca="false">IF(B96="","",IF(H96&lt;&gt;"Yes","Not frozen",IF(AND(J96="Yes",K96="Yes",L96="Yes"),"Complete","Incomplete")))</f>
        <v/>
      </c>
      <c r="O96" s="46" t="str">
        <f aca="false">IF(B96="","",IF(OR(F96="Simbli",F96="Shared folder"),"Yes","No"))</f>
        <v/>
      </c>
      <c r="P96" s="46"/>
    </row>
    <row r="97" customFormat="false" ht="15" hidden="false" customHeight="false" outlineLevel="0" collapsed="false">
      <c r="A97" s="46" t="s">
        <v>2423</v>
      </c>
      <c r="B97" s="46"/>
      <c r="C97" s="49" t="n">
        <f aca="false">IF(OR(B97="",D97=""),0,COUNTIFS($B$2:$B$501,B97,$D$2:$D$501,"&lt;"&amp;D97)+COUNTIFS($B$2:$B$501,B97,$D$2:$D$501,D97,$A$2:$A$501,"&lt;"&amp;A97)+1)</f>
        <v>0</v>
      </c>
      <c r="D97" s="46"/>
      <c r="E97" s="46"/>
      <c r="F97" s="46"/>
      <c r="G97" s="46"/>
      <c r="H97" s="46"/>
      <c r="I97" s="46"/>
      <c r="J97" s="46"/>
      <c r="K97" s="46"/>
      <c r="L97" s="46"/>
      <c r="M97" s="46" t="str">
        <f aca="false">IF(B97="","",IF(H97&lt;&gt;"Yes","No",IF(C97=SUMPRODUCT(MAX(($B$2:$B$501=B97)*($H$2:$H$501="Yes")*$C$2:$C$501)),"Yes","No")))</f>
        <v/>
      </c>
      <c r="N97" s="46" t="str">
        <f aca="false">IF(B97="","",IF(H97&lt;&gt;"Yes","Not frozen",IF(AND(J97="Yes",K97="Yes",L97="Yes"),"Complete","Incomplete")))</f>
        <v/>
      </c>
      <c r="O97" s="46" t="str">
        <f aca="false">IF(B97="","",IF(OR(F97="Simbli",F97="Shared folder"),"Yes","No"))</f>
        <v/>
      </c>
      <c r="P97" s="46"/>
    </row>
    <row r="98" customFormat="false" ht="15" hidden="false" customHeight="false" outlineLevel="0" collapsed="false">
      <c r="A98" s="46" t="s">
        <v>2424</v>
      </c>
      <c r="B98" s="46"/>
      <c r="C98" s="49" t="n">
        <f aca="false">IF(OR(B98="",D98=""),0,COUNTIFS($B$2:$B$501,B98,$D$2:$D$501,"&lt;"&amp;D98)+COUNTIFS($B$2:$B$501,B98,$D$2:$D$501,D98,$A$2:$A$501,"&lt;"&amp;A98)+1)</f>
        <v>0</v>
      </c>
      <c r="D98" s="46"/>
      <c r="E98" s="46"/>
      <c r="F98" s="46"/>
      <c r="G98" s="46"/>
      <c r="H98" s="46"/>
      <c r="I98" s="46"/>
      <c r="J98" s="46"/>
      <c r="K98" s="46"/>
      <c r="L98" s="46"/>
      <c r="M98" s="46" t="str">
        <f aca="false">IF(B98="","",IF(H98&lt;&gt;"Yes","No",IF(C98=SUMPRODUCT(MAX(($B$2:$B$501=B98)*($H$2:$H$501="Yes")*$C$2:$C$501)),"Yes","No")))</f>
        <v/>
      </c>
      <c r="N98" s="46" t="str">
        <f aca="false">IF(B98="","",IF(H98&lt;&gt;"Yes","Not frozen",IF(AND(J98="Yes",K98="Yes",L98="Yes"),"Complete","Incomplete")))</f>
        <v/>
      </c>
      <c r="O98" s="46" t="str">
        <f aca="false">IF(B98="","",IF(OR(F98="Simbli",F98="Shared folder"),"Yes","No"))</f>
        <v/>
      </c>
      <c r="P98" s="46"/>
    </row>
    <row r="99" customFormat="false" ht="15" hidden="false" customHeight="false" outlineLevel="0" collapsed="false">
      <c r="A99" s="46" t="s">
        <v>2425</v>
      </c>
      <c r="B99" s="46"/>
      <c r="C99" s="49" t="n">
        <f aca="false">IF(OR(B99="",D99=""),0,COUNTIFS($B$2:$B$501,B99,$D$2:$D$501,"&lt;"&amp;D99)+COUNTIFS($B$2:$B$501,B99,$D$2:$D$501,D99,$A$2:$A$501,"&lt;"&amp;A99)+1)</f>
        <v>0</v>
      </c>
      <c r="D99" s="46"/>
      <c r="E99" s="46"/>
      <c r="F99" s="46"/>
      <c r="G99" s="46"/>
      <c r="H99" s="46"/>
      <c r="I99" s="46"/>
      <c r="J99" s="46"/>
      <c r="K99" s="46"/>
      <c r="L99" s="46"/>
      <c r="M99" s="46" t="str">
        <f aca="false">IF(B99="","",IF(H99&lt;&gt;"Yes","No",IF(C99=SUMPRODUCT(MAX(($B$2:$B$501=B99)*($H$2:$H$501="Yes")*$C$2:$C$501)),"Yes","No")))</f>
        <v/>
      </c>
      <c r="N99" s="46" t="str">
        <f aca="false">IF(B99="","",IF(H99&lt;&gt;"Yes","Not frozen",IF(AND(J99="Yes",K99="Yes",L99="Yes"),"Complete","Incomplete")))</f>
        <v/>
      </c>
      <c r="O99" s="46" t="str">
        <f aca="false">IF(B99="","",IF(OR(F99="Simbli",F99="Shared folder"),"Yes","No"))</f>
        <v/>
      </c>
      <c r="P99" s="46"/>
    </row>
    <row r="100" customFormat="false" ht="15" hidden="false" customHeight="false" outlineLevel="0" collapsed="false">
      <c r="A100" s="46" t="s">
        <v>2426</v>
      </c>
      <c r="B100" s="46"/>
      <c r="C100" s="49" t="n">
        <f aca="false">IF(OR(B100="",D100=""),0,COUNTIFS($B$2:$B$501,B100,$D$2:$D$501,"&lt;"&amp;D100)+COUNTIFS($B$2:$B$501,B100,$D$2:$D$501,D100,$A$2:$A$501,"&lt;"&amp;A100)+1)</f>
        <v>0</v>
      </c>
      <c r="D100" s="46"/>
      <c r="E100" s="46"/>
      <c r="F100" s="46"/>
      <c r="G100" s="46"/>
      <c r="H100" s="46"/>
      <c r="I100" s="46"/>
      <c r="J100" s="46"/>
      <c r="K100" s="46"/>
      <c r="L100" s="46"/>
      <c r="M100" s="46" t="str">
        <f aca="false">IF(B100="","",IF(H100&lt;&gt;"Yes","No",IF(C100=SUMPRODUCT(MAX(($B$2:$B$501=B100)*($H$2:$H$501="Yes")*$C$2:$C$501)),"Yes","No")))</f>
        <v/>
      </c>
      <c r="N100" s="46" t="str">
        <f aca="false">IF(B100="","",IF(H100&lt;&gt;"Yes","Not frozen",IF(AND(J100="Yes",K100="Yes",L100="Yes"),"Complete","Incomplete")))</f>
        <v/>
      </c>
      <c r="O100" s="46" t="str">
        <f aca="false">IF(B100="","",IF(OR(F100="Simbli",F100="Shared folder"),"Yes","No"))</f>
        <v/>
      </c>
      <c r="P100" s="46"/>
    </row>
    <row r="101" customFormat="false" ht="15" hidden="false" customHeight="false" outlineLevel="0" collapsed="false">
      <c r="A101" s="46" t="s">
        <v>2427</v>
      </c>
      <c r="B101" s="46"/>
      <c r="C101" s="49" t="n">
        <f aca="false">IF(OR(B101="",D101=""),0,COUNTIFS($B$2:$B$501,B101,$D$2:$D$501,"&lt;"&amp;D101)+COUNTIFS($B$2:$B$501,B101,$D$2:$D$501,D101,$A$2:$A$501,"&lt;"&amp;A101)+1)</f>
        <v>0</v>
      </c>
      <c r="D101" s="46"/>
      <c r="E101" s="46"/>
      <c r="F101" s="46"/>
      <c r="G101" s="46"/>
      <c r="H101" s="46"/>
      <c r="I101" s="46"/>
      <c r="J101" s="46"/>
      <c r="K101" s="46"/>
      <c r="L101" s="46"/>
      <c r="M101" s="46" t="str">
        <f aca="false">IF(B101="","",IF(H101&lt;&gt;"Yes","No",IF(C101=SUMPRODUCT(MAX(($B$2:$B$501=B101)*($H$2:$H$501="Yes")*$C$2:$C$501)),"Yes","No")))</f>
        <v/>
      </c>
      <c r="N101" s="46" t="str">
        <f aca="false">IF(B101="","",IF(H101&lt;&gt;"Yes","Not frozen",IF(AND(J101="Yes",K101="Yes",L101="Yes"),"Complete","Incomplete")))</f>
        <v/>
      </c>
      <c r="O101" s="46" t="str">
        <f aca="false">IF(B101="","",IF(OR(F101="Simbli",F101="Shared folder"),"Yes","No"))</f>
        <v/>
      </c>
      <c r="P101" s="46"/>
    </row>
    <row r="102" customFormat="false" ht="15" hidden="false" customHeight="false" outlineLevel="0" collapsed="false">
      <c r="A102" s="46" t="s">
        <v>2428</v>
      </c>
      <c r="B102" s="46"/>
      <c r="C102" s="49" t="n">
        <f aca="false">IF(OR(B102="",D102=""),0,COUNTIFS($B$2:$B$501,B102,$D$2:$D$501,"&lt;"&amp;D102)+COUNTIFS($B$2:$B$501,B102,$D$2:$D$501,D102,$A$2:$A$501,"&lt;"&amp;A102)+1)</f>
        <v>0</v>
      </c>
      <c r="D102" s="46"/>
      <c r="E102" s="46"/>
      <c r="F102" s="46"/>
      <c r="G102" s="46"/>
      <c r="H102" s="46"/>
      <c r="I102" s="46"/>
      <c r="J102" s="46"/>
      <c r="K102" s="46"/>
      <c r="L102" s="46"/>
      <c r="M102" s="46" t="str">
        <f aca="false">IF(B102="","",IF(H102&lt;&gt;"Yes","No",IF(C102=SUMPRODUCT(MAX(($B$2:$B$501=B102)*($H$2:$H$501="Yes")*$C$2:$C$501)),"Yes","No")))</f>
        <v/>
      </c>
      <c r="N102" s="46" t="str">
        <f aca="false">IF(B102="","",IF(H102&lt;&gt;"Yes","Not frozen",IF(AND(J102="Yes",K102="Yes",L102="Yes"),"Complete","Incomplete")))</f>
        <v/>
      </c>
      <c r="O102" s="46" t="str">
        <f aca="false">IF(B102="","",IF(OR(F102="Simbli",F102="Shared folder"),"Yes","No"))</f>
        <v/>
      </c>
      <c r="P102" s="46"/>
    </row>
    <row r="103" customFormat="false" ht="15" hidden="false" customHeight="false" outlineLevel="0" collapsed="false">
      <c r="A103" s="46" t="s">
        <v>2429</v>
      </c>
      <c r="B103" s="46"/>
      <c r="C103" s="49" t="n">
        <f aca="false">IF(OR(B103="",D103=""),0,COUNTIFS($B$2:$B$501,B103,$D$2:$D$501,"&lt;"&amp;D103)+COUNTIFS($B$2:$B$501,B103,$D$2:$D$501,D103,$A$2:$A$501,"&lt;"&amp;A103)+1)</f>
        <v>0</v>
      </c>
      <c r="D103" s="46"/>
      <c r="E103" s="46"/>
      <c r="F103" s="46"/>
      <c r="G103" s="46"/>
      <c r="H103" s="46"/>
      <c r="I103" s="46"/>
      <c r="J103" s="46"/>
      <c r="K103" s="46"/>
      <c r="L103" s="46"/>
      <c r="M103" s="46" t="str">
        <f aca="false">IF(B103="","",IF(H103&lt;&gt;"Yes","No",IF(C103=SUMPRODUCT(MAX(($B$2:$B$501=B103)*($H$2:$H$501="Yes")*$C$2:$C$501)),"Yes","No")))</f>
        <v/>
      </c>
      <c r="N103" s="46" t="str">
        <f aca="false">IF(B103="","",IF(H103&lt;&gt;"Yes","Not frozen",IF(AND(J103="Yes",K103="Yes",L103="Yes"),"Complete","Incomplete")))</f>
        <v/>
      </c>
      <c r="O103" s="46" t="str">
        <f aca="false">IF(B103="","",IF(OR(F103="Simbli",F103="Shared folder"),"Yes","No"))</f>
        <v/>
      </c>
      <c r="P103" s="46"/>
    </row>
    <row r="104" customFormat="false" ht="15" hidden="false" customHeight="false" outlineLevel="0" collapsed="false">
      <c r="A104" s="46" t="s">
        <v>2430</v>
      </c>
      <c r="B104" s="46"/>
      <c r="C104" s="49" t="n">
        <f aca="false">IF(OR(B104="",D104=""),0,COUNTIFS($B$2:$B$501,B104,$D$2:$D$501,"&lt;"&amp;D104)+COUNTIFS($B$2:$B$501,B104,$D$2:$D$501,D104,$A$2:$A$501,"&lt;"&amp;A104)+1)</f>
        <v>0</v>
      </c>
      <c r="D104" s="46"/>
      <c r="E104" s="46"/>
      <c r="F104" s="46"/>
      <c r="G104" s="46"/>
      <c r="H104" s="46"/>
      <c r="I104" s="46"/>
      <c r="J104" s="46"/>
      <c r="K104" s="46"/>
      <c r="L104" s="46"/>
      <c r="M104" s="46" t="str">
        <f aca="false">IF(B104="","",IF(H104&lt;&gt;"Yes","No",IF(C104=SUMPRODUCT(MAX(($B$2:$B$501=B104)*($H$2:$H$501="Yes")*$C$2:$C$501)),"Yes","No")))</f>
        <v/>
      </c>
      <c r="N104" s="46" t="str">
        <f aca="false">IF(B104="","",IF(H104&lt;&gt;"Yes","Not frozen",IF(AND(J104="Yes",K104="Yes",L104="Yes"),"Complete","Incomplete")))</f>
        <v/>
      </c>
      <c r="O104" s="46" t="str">
        <f aca="false">IF(B104="","",IF(OR(F104="Simbli",F104="Shared folder"),"Yes","No"))</f>
        <v/>
      </c>
      <c r="P104" s="46"/>
    </row>
    <row r="105" customFormat="false" ht="15" hidden="false" customHeight="false" outlineLevel="0" collapsed="false">
      <c r="A105" s="46" t="s">
        <v>2431</v>
      </c>
      <c r="B105" s="46"/>
      <c r="C105" s="49" t="n">
        <f aca="false">IF(OR(B105="",D105=""),0,COUNTIFS($B$2:$B$501,B105,$D$2:$D$501,"&lt;"&amp;D105)+COUNTIFS($B$2:$B$501,B105,$D$2:$D$501,D105,$A$2:$A$501,"&lt;"&amp;A105)+1)</f>
        <v>0</v>
      </c>
      <c r="D105" s="46"/>
      <c r="E105" s="46"/>
      <c r="F105" s="46"/>
      <c r="G105" s="46"/>
      <c r="H105" s="46"/>
      <c r="I105" s="46"/>
      <c r="J105" s="46"/>
      <c r="K105" s="46"/>
      <c r="L105" s="46"/>
      <c r="M105" s="46" t="str">
        <f aca="false">IF(B105="","",IF(H105&lt;&gt;"Yes","No",IF(C105=SUMPRODUCT(MAX(($B$2:$B$501=B105)*($H$2:$H$501="Yes")*$C$2:$C$501)),"Yes","No")))</f>
        <v/>
      </c>
      <c r="N105" s="46" t="str">
        <f aca="false">IF(B105="","",IF(H105&lt;&gt;"Yes","Not frozen",IF(AND(J105="Yes",K105="Yes",L105="Yes"),"Complete","Incomplete")))</f>
        <v/>
      </c>
      <c r="O105" s="46" t="str">
        <f aca="false">IF(B105="","",IF(OR(F105="Simbli",F105="Shared folder"),"Yes","No"))</f>
        <v/>
      </c>
      <c r="P105" s="46"/>
    </row>
    <row r="106" customFormat="false" ht="15" hidden="false" customHeight="false" outlineLevel="0" collapsed="false">
      <c r="A106" s="46" t="s">
        <v>2432</v>
      </c>
      <c r="B106" s="46"/>
      <c r="C106" s="49" t="n">
        <f aca="false">IF(OR(B106="",D106=""),0,COUNTIFS($B$2:$B$501,B106,$D$2:$D$501,"&lt;"&amp;D106)+COUNTIFS($B$2:$B$501,B106,$D$2:$D$501,D106,$A$2:$A$501,"&lt;"&amp;A106)+1)</f>
        <v>0</v>
      </c>
      <c r="D106" s="46"/>
      <c r="E106" s="46"/>
      <c r="F106" s="46"/>
      <c r="G106" s="46"/>
      <c r="H106" s="46"/>
      <c r="I106" s="46"/>
      <c r="J106" s="46"/>
      <c r="K106" s="46"/>
      <c r="L106" s="46"/>
      <c r="M106" s="46" t="str">
        <f aca="false">IF(B106="","",IF(H106&lt;&gt;"Yes","No",IF(C106=SUMPRODUCT(MAX(($B$2:$B$501=B106)*($H$2:$H$501="Yes")*$C$2:$C$501)),"Yes","No")))</f>
        <v/>
      </c>
      <c r="N106" s="46" t="str">
        <f aca="false">IF(B106="","",IF(H106&lt;&gt;"Yes","Not frozen",IF(AND(J106="Yes",K106="Yes",L106="Yes"),"Complete","Incomplete")))</f>
        <v/>
      </c>
      <c r="O106" s="46" t="str">
        <f aca="false">IF(B106="","",IF(OR(F106="Simbli",F106="Shared folder"),"Yes","No"))</f>
        <v/>
      </c>
      <c r="P106" s="46"/>
    </row>
    <row r="107" customFormat="false" ht="15" hidden="false" customHeight="false" outlineLevel="0" collapsed="false">
      <c r="A107" s="46" t="s">
        <v>2433</v>
      </c>
      <c r="B107" s="46"/>
      <c r="C107" s="49" t="n">
        <f aca="false">IF(OR(B107="",D107=""),0,COUNTIFS($B$2:$B$501,B107,$D$2:$D$501,"&lt;"&amp;D107)+COUNTIFS($B$2:$B$501,B107,$D$2:$D$501,D107,$A$2:$A$501,"&lt;"&amp;A107)+1)</f>
        <v>0</v>
      </c>
      <c r="D107" s="46"/>
      <c r="E107" s="46"/>
      <c r="F107" s="46"/>
      <c r="G107" s="46"/>
      <c r="H107" s="46"/>
      <c r="I107" s="46"/>
      <c r="J107" s="46"/>
      <c r="K107" s="46"/>
      <c r="L107" s="46"/>
      <c r="M107" s="46" t="str">
        <f aca="false">IF(B107="","",IF(H107&lt;&gt;"Yes","No",IF(C107=SUMPRODUCT(MAX(($B$2:$B$501=B107)*($H$2:$H$501="Yes")*$C$2:$C$501)),"Yes","No")))</f>
        <v/>
      </c>
      <c r="N107" s="46" t="str">
        <f aca="false">IF(B107="","",IF(H107&lt;&gt;"Yes","Not frozen",IF(AND(J107="Yes",K107="Yes",L107="Yes"),"Complete","Incomplete")))</f>
        <v/>
      </c>
      <c r="O107" s="46" t="str">
        <f aca="false">IF(B107="","",IF(OR(F107="Simbli",F107="Shared folder"),"Yes","No"))</f>
        <v/>
      </c>
      <c r="P107" s="46"/>
    </row>
    <row r="108" customFormat="false" ht="15" hidden="false" customHeight="false" outlineLevel="0" collapsed="false">
      <c r="A108" s="46" t="s">
        <v>2434</v>
      </c>
      <c r="B108" s="46"/>
      <c r="C108" s="49" t="n">
        <f aca="false">IF(OR(B108="",D108=""),0,COUNTIFS($B$2:$B$501,B108,$D$2:$D$501,"&lt;"&amp;D108)+COUNTIFS($B$2:$B$501,B108,$D$2:$D$501,D108,$A$2:$A$501,"&lt;"&amp;A108)+1)</f>
        <v>0</v>
      </c>
      <c r="D108" s="46"/>
      <c r="E108" s="46"/>
      <c r="F108" s="46"/>
      <c r="G108" s="46"/>
      <c r="H108" s="46"/>
      <c r="I108" s="46"/>
      <c r="J108" s="46"/>
      <c r="K108" s="46"/>
      <c r="L108" s="46"/>
      <c r="M108" s="46" t="str">
        <f aca="false">IF(B108="","",IF(H108&lt;&gt;"Yes","No",IF(C108=SUMPRODUCT(MAX(($B$2:$B$501=B108)*($H$2:$H$501="Yes")*$C$2:$C$501)),"Yes","No")))</f>
        <v/>
      </c>
      <c r="N108" s="46" t="str">
        <f aca="false">IF(B108="","",IF(H108&lt;&gt;"Yes","Not frozen",IF(AND(J108="Yes",K108="Yes",L108="Yes"),"Complete","Incomplete")))</f>
        <v/>
      </c>
      <c r="O108" s="46" t="str">
        <f aca="false">IF(B108="","",IF(OR(F108="Simbli",F108="Shared folder"),"Yes","No"))</f>
        <v/>
      </c>
      <c r="P108" s="46"/>
    </row>
    <row r="109" customFormat="false" ht="15" hidden="false" customHeight="false" outlineLevel="0" collapsed="false">
      <c r="A109" s="46" t="s">
        <v>2435</v>
      </c>
      <c r="B109" s="46"/>
      <c r="C109" s="49" t="n">
        <f aca="false">IF(OR(B109="",D109=""),0,COUNTIFS($B$2:$B$501,B109,$D$2:$D$501,"&lt;"&amp;D109)+COUNTIFS($B$2:$B$501,B109,$D$2:$D$501,D109,$A$2:$A$501,"&lt;"&amp;A109)+1)</f>
        <v>0</v>
      </c>
      <c r="D109" s="46"/>
      <c r="E109" s="46"/>
      <c r="F109" s="46"/>
      <c r="G109" s="46"/>
      <c r="H109" s="46"/>
      <c r="I109" s="46"/>
      <c r="J109" s="46"/>
      <c r="K109" s="46"/>
      <c r="L109" s="46"/>
      <c r="M109" s="46" t="str">
        <f aca="false">IF(B109="","",IF(H109&lt;&gt;"Yes","No",IF(C109=SUMPRODUCT(MAX(($B$2:$B$501=B109)*($H$2:$H$501="Yes")*$C$2:$C$501)),"Yes","No")))</f>
        <v/>
      </c>
      <c r="N109" s="46" t="str">
        <f aca="false">IF(B109="","",IF(H109&lt;&gt;"Yes","Not frozen",IF(AND(J109="Yes",K109="Yes",L109="Yes"),"Complete","Incomplete")))</f>
        <v/>
      </c>
      <c r="O109" s="46" t="str">
        <f aca="false">IF(B109="","",IF(OR(F109="Simbli",F109="Shared folder"),"Yes","No"))</f>
        <v/>
      </c>
      <c r="P109" s="46"/>
    </row>
    <row r="110" customFormat="false" ht="15" hidden="false" customHeight="false" outlineLevel="0" collapsed="false">
      <c r="A110" s="46" t="s">
        <v>2436</v>
      </c>
      <c r="B110" s="46"/>
      <c r="C110" s="49" t="n">
        <f aca="false">IF(OR(B110="",D110=""),0,COUNTIFS($B$2:$B$501,B110,$D$2:$D$501,"&lt;"&amp;D110)+COUNTIFS($B$2:$B$501,B110,$D$2:$D$501,D110,$A$2:$A$501,"&lt;"&amp;A110)+1)</f>
        <v>0</v>
      </c>
      <c r="D110" s="46"/>
      <c r="E110" s="46"/>
      <c r="F110" s="46"/>
      <c r="G110" s="46"/>
      <c r="H110" s="46"/>
      <c r="I110" s="46"/>
      <c r="J110" s="46"/>
      <c r="K110" s="46"/>
      <c r="L110" s="46"/>
      <c r="M110" s="46" t="str">
        <f aca="false">IF(B110="","",IF(H110&lt;&gt;"Yes","No",IF(C110=SUMPRODUCT(MAX(($B$2:$B$501=B110)*($H$2:$H$501="Yes")*$C$2:$C$501)),"Yes","No")))</f>
        <v/>
      </c>
      <c r="N110" s="46" t="str">
        <f aca="false">IF(B110="","",IF(H110&lt;&gt;"Yes","Not frozen",IF(AND(J110="Yes",K110="Yes",L110="Yes"),"Complete","Incomplete")))</f>
        <v/>
      </c>
      <c r="O110" s="46" t="str">
        <f aca="false">IF(B110="","",IF(OR(F110="Simbli",F110="Shared folder"),"Yes","No"))</f>
        <v/>
      </c>
      <c r="P110" s="46"/>
    </row>
    <row r="111" customFormat="false" ht="15" hidden="false" customHeight="false" outlineLevel="0" collapsed="false">
      <c r="A111" s="46" t="s">
        <v>2437</v>
      </c>
      <c r="B111" s="46"/>
      <c r="C111" s="49" t="n">
        <f aca="false">IF(OR(B111="",D111=""),0,COUNTIFS($B$2:$B$501,B111,$D$2:$D$501,"&lt;"&amp;D111)+COUNTIFS($B$2:$B$501,B111,$D$2:$D$501,D111,$A$2:$A$501,"&lt;"&amp;A111)+1)</f>
        <v>0</v>
      </c>
      <c r="D111" s="46"/>
      <c r="E111" s="46"/>
      <c r="F111" s="46"/>
      <c r="G111" s="46"/>
      <c r="H111" s="46"/>
      <c r="I111" s="46"/>
      <c r="J111" s="46"/>
      <c r="K111" s="46"/>
      <c r="L111" s="46"/>
      <c r="M111" s="46" t="str">
        <f aca="false">IF(B111="","",IF(H111&lt;&gt;"Yes","No",IF(C111=SUMPRODUCT(MAX(($B$2:$B$501=B111)*($H$2:$H$501="Yes")*$C$2:$C$501)),"Yes","No")))</f>
        <v/>
      </c>
      <c r="N111" s="46" t="str">
        <f aca="false">IF(B111="","",IF(H111&lt;&gt;"Yes","Not frozen",IF(AND(J111="Yes",K111="Yes",L111="Yes"),"Complete","Incomplete")))</f>
        <v/>
      </c>
      <c r="O111" s="46" t="str">
        <f aca="false">IF(B111="","",IF(OR(F111="Simbli",F111="Shared folder"),"Yes","No"))</f>
        <v/>
      </c>
      <c r="P111" s="46"/>
    </row>
    <row r="112" customFormat="false" ht="15" hidden="false" customHeight="false" outlineLevel="0" collapsed="false">
      <c r="A112" s="46" t="s">
        <v>2438</v>
      </c>
      <c r="B112" s="46"/>
      <c r="C112" s="49" t="n">
        <f aca="false">IF(OR(B112="",D112=""),0,COUNTIFS($B$2:$B$501,B112,$D$2:$D$501,"&lt;"&amp;D112)+COUNTIFS($B$2:$B$501,B112,$D$2:$D$501,D112,$A$2:$A$501,"&lt;"&amp;A112)+1)</f>
        <v>0</v>
      </c>
      <c r="D112" s="46"/>
      <c r="E112" s="46"/>
      <c r="F112" s="46"/>
      <c r="G112" s="46"/>
      <c r="H112" s="46"/>
      <c r="I112" s="46"/>
      <c r="J112" s="46"/>
      <c r="K112" s="46"/>
      <c r="L112" s="46"/>
      <c r="M112" s="46" t="str">
        <f aca="false">IF(B112="","",IF(H112&lt;&gt;"Yes","No",IF(C112=SUMPRODUCT(MAX(($B$2:$B$501=B112)*($H$2:$H$501="Yes")*$C$2:$C$501)),"Yes","No")))</f>
        <v/>
      </c>
      <c r="N112" s="46" t="str">
        <f aca="false">IF(B112="","",IF(H112&lt;&gt;"Yes","Not frozen",IF(AND(J112="Yes",K112="Yes",L112="Yes"),"Complete","Incomplete")))</f>
        <v/>
      </c>
      <c r="O112" s="46" t="str">
        <f aca="false">IF(B112="","",IF(OR(F112="Simbli",F112="Shared folder"),"Yes","No"))</f>
        <v/>
      </c>
      <c r="P112" s="46"/>
    </row>
    <row r="113" customFormat="false" ht="15" hidden="false" customHeight="false" outlineLevel="0" collapsed="false">
      <c r="A113" s="46" t="s">
        <v>2439</v>
      </c>
      <c r="B113" s="46"/>
      <c r="C113" s="49" t="n">
        <f aca="false">IF(OR(B113="",D113=""),0,COUNTIFS($B$2:$B$501,B113,$D$2:$D$501,"&lt;"&amp;D113)+COUNTIFS($B$2:$B$501,B113,$D$2:$D$501,D113,$A$2:$A$501,"&lt;"&amp;A113)+1)</f>
        <v>0</v>
      </c>
      <c r="D113" s="46"/>
      <c r="E113" s="46"/>
      <c r="F113" s="46"/>
      <c r="G113" s="46"/>
      <c r="H113" s="46"/>
      <c r="I113" s="46"/>
      <c r="J113" s="46"/>
      <c r="K113" s="46"/>
      <c r="L113" s="46"/>
      <c r="M113" s="46" t="str">
        <f aca="false">IF(B113="","",IF(H113&lt;&gt;"Yes","No",IF(C113=SUMPRODUCT(MAX(($B$2:$B$501=B113)*($H$2:$H$501="Yes")*$C$2:$C$501)),"Yes","No")))</f>
        <v/>
      </c>
      <c r="N113" s="46" t="str">
        <f aca="false">IF(B113="","",IF(H113&lt;&gt;"Yes","Not frozen",IF(AND(J113="Yes",K113="Yes",L113="Yes"),"Complete","Incomplete")))</f>
        <v/>
      </c>
      <c r="O113" s="46" t="str">
        <f aca="false">IF(B113="","",IF(OR(F113="Simbli",F113="Shared folder"),"Yes","No"))</f>
        <v/>
      </c>
      <c r="P113" s="46"/>
    </row>
    <row r="114" customFormat="false" ht="15" hidden="false" customHeight="false" outlineLevel="0" collapsed="false">
      <c r="A114" s="46" t="s">
        <v>2440</v>
      </c>
      <c r="B114" s="46"/>
      <c r="C114" s="49" t="n">
        <f aca="false">IF(OR(B114="",D114=""),0,COUNTIFS($B$2:$B$501,B114,$D$2:$D$501,"&lt;"&amp;D114)+COUNTIFS($B$2:$B$501,B114,$D$2:$D$501,D114,$A$2:$A$501,"&lt;"&amp;A114)+1)</f>
        <v>0</v>
      </c>
      <c r="D114" s="46"/>
      <c r="E114" s="46"/>
      <c r="F114" s="46"/>
      <c r="G114" s="46"/>
      <c r="H114" s="46"/>
      <c r="I114" s="46"/>
      <c r="J114" s="46"/>
      <c r="K114" s="46"/>
      <c r="L114" s="46"/>
      <c r="M114" s="46" t="str">
        <f aca="false">IF(B114="","",IF(H114&lt;&gt;"Yes","No",IF(C114=SUMPRODUCT(MAX(($B$2:$B$501=B114)*($H$2:$H$501="Yes")*$C$2:$C$501)),"Yes","No")))</f>
        <v/>
      </c>
      <c r="N114" s="46" t="str">
        <f aca="false">IF(B114="","",IF(H114&lt;&gt;"Yes","Not frozen",IF(AND(J114="Yes",K114="Yes",L114="Yes"),"Complete","Incomplete")))</f>
        <v/>
      </c>
      <c r="O114" s="46" t="str">
        <f aca="false">IF(B114="","",IF(OR(F114="Simbli",F114="Shared folder"),"Yes","No"))</f>
        <v/>
      </c>
      <c r="P114" s="46"/>
    </row>
    <row r="115" customFormat="false" ht="15" hidden="false" customHeight="false" outlineLevel="0" collapsed="false">
      <c r="A115" s="46" t="s">
        <v>2441</v>
      </c>
      <c r="B115" s="46"/>
      <c r="C115" s="49" t="n">
        <f aca="false">IF(OR(B115="",D115=""),0,COUNTIFS($B$2:$B$501,B115,$D$2:$D$501,"&lt;"&amp;D115)+COUNTIFS($B$2:$B$501,B115,$D$2:$D$501,D115,$A$2:$A$501,"&lt;"&amp;A115)+1)</f>
        <v>0</v>
      </c>
      <c r="D115" s="46"/>
      <c r="E115" s="46"/>
      <c r="F115" s="46"/>
      <c r="G115" s="46"/>
      <c r="H115" s="46"/>
      <c r="I115" s="46"/>
      <c r="J115" s="46"/>
      <c r="K115" s="46"/>
      <c r="L115" s="46"/>
      <c r="M115" s="46" t="str">
        <f aca="false">IF(B115="","",IF(H115&lt;&gt;"Yes","No",IF(C115=SUMPRODUCT(MAX(($B$2:$B$501=B115)*($H$2:$H$501="Yes")*$C$2:$C$501)),"Yes","No")))</f>
        <v/>
      </c>
      <c r="N115" s="46" t="str">
        <f aca="false">IF(B115="","",IF(H115&lt;&gt;"Yes","Not frozen",IF(AND(J115="Yes",K115="Yes",L115="Yes"),"Complete","Incomplete")))</f>
        <v/>
      </c>
      <c r="O115" s="46" t="str">
        <f aca="false">IF(B115="","",IF(OR(F115="Simbli",F115="Shared folder"),"Yes","No"))</f>
        <v/>
      </c>
      <c r="P115" s="46"/>
    </row>
    <row r="116" customFormat="false" ht="15" hidden="false" customHeight="false" outlineLevel="0" collapsed="false">
      <c r="A116" s="46" t="s">
        <v>2442</v>
      </c>
      <c r="B116" s="46"/>
      <c r="C116" s="49" t="n">
        <f aca="false">IF(OR(B116="",D116=""),0,COUNTIFS($B$2:$B$501,B116,$D$2:$D$501,"&lt;"&amp;D116)+COUNTIFS($B$2:$B$501,B116,$D$2:$D$501,D116,$A$2:$A$501,"&lt;"&amp;A116)+1)</f>
        <v>0</v>
      </c>
      <c r="D116" s="46"/>
      <c r="E116" s="46"/>
      <c r="F116" s="46"/>
      <c r="G116" s="46"/>
      <c r="H116" s="46"/>
      <c r="I116" s="46"/>
      <c r="J116" s="46"/>
      <c r="K116" s="46"/>
      <c r="L116" s="46"/>
      <c r="M116" s="46" t="str">
        <f aca="false">IF(B116="","",IF(H116&lt;&gt;"Yes","No",IF(C116=SUMPRODUCT(MAX(($B$2:$B$501=B116)*($H$2:$H$501="Yes")*$C$2:$C$501)),"Yes","No")))</f>
        <v/>
      </c>
      <c r="N116" s="46" t="str">
        <f aca="false">IF(B116="","",IF(H116&lt;&gt;"Yes","Not frozen",IF(AND(J116="Yes",K116="Yes",L116="Yes"),"Complete","Incomplete")))</f>
        <v/>
      </c>
      <c r="O116" s="46" t="str">
        <f aca="false">IF(B116="","",IF(OR(F116="Simbli",F116="Shared folder"),"Yes","No"))</f>
        <v/>
      </c>
      <c r="P116" s="46"/>
    </row>
    <row r="117" customFormat="false" ht="15" hidden="false" customHeight="false" outlineLevel="0" collapsed="false">
      <c r="A117" s="46" t="s">
        <v>2443</v>
      </c>
      <c r="B117" s="46"/>
      <c r="C117" s="49" t="n">
        <f aca="false">IF(OR(B117="",D117=""),0,COUNTIFS($B$2:$B$501,B117,$D$2:$D$501,"&lt;"&amp;D117)+COUNTIFS($B$2:$B$501,B117,$D$2:$D$501,D117,$A$2:$A$501,"&lt;"&amp;A117)+1)</f>
        <v>0</v>
      </c>
      <c r="D117" s="46"/>
      <c r="E117" s="46"/>
      <c r="F117" s="46"/>
      <c r="G117" s="46"/>
      <c r="H117" s="46"/>
      <c r="I117" s="46"/>
      <c r="J117" s="46"/>
      <c r="K117" s="46"/>
      <c r="L117" s="46"/>
      <c r="M117" s="46" t="str">
        <f aca="false">IF(B117="","",IF(H117&lt;&gt;"Yes","No",IF(C117=SUMPRODUCT(MAX(($B$2:$B$501=B117)*($H$2:$H$501="Yes")*$C$2:$C$501)),"Yes","No")))</f>
        <v/>
      </c>
      <c r="N117" s="46" t="str">
        <f aca="false">IF(B117="","",IF(H117&lt;&gt;"Yes","Not frozen",IF(AND(J117="Yes",K117="Yes",L117="Yes"),"Complete","Incomplete")))</f>
        <v/>
      </c>
      <c r="O117" s="46" t="str">
        <f aca="false">IF(B117="","",IF(OR(F117="Simbli",F117="Shared folder"),"Yes","No"))</f>
        <v/>
      </c>
      <c r="P117" s="46"/>
    </row>
    <row r="118" customFormat="false" ht="15" hidden="false" customHeight="false" outlineLevel="0" collapsed="false">
      <c r="A118" s="46" t="s">
        <v>2444</v>
      </c>
      <c r="B118" s="46"/>
      <c r="C118" s="49" t="n">
        <f aca="false">IF(OR(B118="",D118=""),0,COUNTIFS($B$2:$B$501,B118,$D$2:$D$501,"&lt;"&amp;D118)+COUNTIFS($B$2:$B$501,B118,$D$2:$D$501,D118,$A$2:$A$501,"&lt;"&amp;A118)+1)</f>
        <v>0</v>
      </c>
      <c r="D118" s="46"/>
      <c r="E118" s="46"/>
      <c r="F118" s="46"/>
      <c r="G118" s="46"/>
      <c r="H118" s="46"/>
      <c r="I118" s="46"/>
      <c r="J118" s="46"/>
      <c r="K118" s="46"/>
      <c r="L118" s="46"/>
      <c r="M118" s="46" t="str">
        <f aca="false">IF(B118="","",IF(H118&lt;&gt;"Yes","No",IF(C118=SUMPRODUCT(MAX(($B$2:$B$501=B118)*($H$2:$H$501="Yes")*$C$2:$C$501)),"Yes","No")))</f>
        <v/>
      </c>
      <c r="N118" s="46" t="str">
        <f aca="false">IF(B118="","",IF(H118&lt;&gt;"Yes","Not frozen",IF(AND(J118="Yes",K118="Yes",L118="Yes"),"Complete","Incomplete")))</f>
        <v/>
      </c>
      <c r="O118" s="46" t="str">
        <f aca="false">IF(B118="","",IF(OR(F118="Simbli",F118="Shared folder"),"Yes","No"))</f>
        <v/>
      </c>
      <c r="P118" s="46"/>
    </row>
    <row r="119" customFormat="false" ht="15" hidden="false" customHeight="false" outlineLevel="0" collapsed="false">
      <c r="A119" s="46" t="s">
        <v>2445</v>
      </c>
      <c r="B119" s="46"/>
      <c r="C119" s="49" t="n">
        <f aca="false">IF(OR(B119="",D119=""),0,COUNTIFS($B$2:$B$501,B119,$D$2:$D$501,"&lt;"&amp;D119)+COUNTIFS($B$2:$B$501,B119,$D$2:$D$501,D119,$A$2:$A$501,"&lt;"&amp;A119)+1)</f>
        <v>0</v>
      </c>
      <c r="D119" s="46"/>
      <c r="E119" s="46"/>
      <c r="F119" s="46"/>
      <c r="G119" s="46"/>
      <c r="H119" s="46"/>
      <c r="I119" s="46"/>
      <c r="J119" s="46"/>
      <c r="K119" s="46"/>
      <c r="L119" s="46"/>
      <c r="M119" s="46" t="str">
        <f aca="false">IF(B119="","",IF(H119&lt;&gt;"Yes","No",IF(C119=SUMPRODUCT(MAX(($B$2:$B$501=B119)*($H$2:$H$501="Yes")*$C$2:$C$501)),"Yes","No")))</f>
        <v/>
      </c>
      <c r="N119" s="46" t="str">
        <f aca="false">IF(B119="","",IF(H119&lt;&gt;"Yes","Not frozen",IF(AND(J119="Yes",K119="Yes",L119="Yes"),"Complete","Incomplete")))</f>
        <v/>
      </c>
      <c r="O119" s="46" t="str">
        <f aca="false">IF(B119="","",IF(OR(F119="Simbli",F119="Shared folder"),"Yes","No"))</f>
        <v/>
      </c>
      <c r="P119" s="46"/>
    </row>
    <row r="120" customFormat="false" ht="15" hidden="false" customHeight="false" outlineLevel="0" collapsed="false">
      <c r="A120" s="46" t="s">
        <v>2446</v>
      </c>
      <c r="B120" s="46"/>
      <c r="C120" s="49" t="n">
        <f aca="false">IF(OR(B120="",D120=""),0,COUNTIFS($B$2:$B$501,B120,$D$2:$D$501,"&lt;"&amp;D120)+COUNTIFS($B$2:$B$501,B120,$D$2:$D$501,D120,$A$2:$A$501,"&lt;"&amp;A120)+1)</f>
        <v>0</v>
      </c>
      <c r="D120" s="46"/>
      <c r="E120" s="46"/>
      <c r="F120" s="46"/>
      <c r="G120" s="46"/>
      <c r="H120" s="46"/>
      <c r="I120" s="46"/>
      <c r="J120" s="46"/>
      <c r="K120" s="46"/>
      <c r="L120" s="46"/>
      <c r="M120" s="46" t="str">
        <f aca="false">IF(B120="","",IF(H120&lt;&gt;"Yes","No",IF(C120=SUMPRODUCT(MAX(($B$2:$B$501=B120)*($H$2:$H$501="Yes")*$C$2:$C$501)),"Yes","No")))</f>
        <v/>
      </c>
      <c r="N120" s="46" t="str">
        <f aca="false">IF(B120="","",IF(H120&lt;&gt;"Yes","Not frozen",IF(AND(J120="Yes",K120="Yes",L120="Yes"),"Complete","Incomplete")))</f>
        <v/>
      </c>
      <c r="O120" s="46" t="str">
        <f aca="false">IF(B120="","",IF(OR(F120="Simbli",F120="Shared folder"),"Yes","No"))</f>
        <v/>
      </c>
      <c r="P120" s="46"/>
    </row>
    <row r="121" customFormat="false" ht="15" hidden="false" customHeight="false" outlineLevel="0" collapsed="false">
      <c r="A121" s="46" t="s">
        <v>2447</v>
      </c>
      <c r="B121" s="46"/>
      <c r="C121" s="49" t="n">
        <f aca="false">IF(OR(B121="",D121=""),0,COUNTIFS($B$2:$B$501,B121,$D$2:$D$501,"&lt;"&amp;D121)+COUNTIFS($B$2:$B$501,B121,$D$2:$D$501,D121,$A$2:$A$501,"&lt;"&amp;A121)+1)</f>
        <v>0</v>
      </c>
      <c r="D121" s="46"/>
      <c r="E121" s="46"/>
      <c r="F121" s="46"/>
      <c r="G121" s="46"/>
      <c r="H121" s="46"/>
      <c r="I121" s="46"/>
      <c r="J121" s="46"/>
      <c r="K121" s="46"/>
      <c r="L121" s="46"/>
      <c r="M121" s="46" t="str">
        <f aca="false">IF(B121="","",IF(H121&lt;&gt;"Yes","No",IF(C121=SUMPRODUCT(MAX(($B$2:$B$501=B121)*($H$2:$H$501="Yes")*$C$2:$C$501)),"Yes","No")))</f>
        <v/>
      </c>
      <c r="N121" s="46" t="str">
        <f aca="false">IF(B121="","",IF(H121&lt;&gt;"Yes","Not frozen",IF(AND(J121="Yes",K121="Yes",L121="Yes"),"Complete","Incomplete")))</f>
        <v/>
      </c>
      <c r="O121" s="46" t="str">
        <f aca="false">IF(B121="","",IF(OR(F121="Simbli",F121="Shared folder"),"Yes","No"))</f>
        <v/>
      </c>
      <c r="P121" s="46"/>
    </row>
    <row r="122" customFormat="false" ht="15" hidden="false" customHeight="false" outlineLevel="0" collapsed="false">
      <c r="A122" s="46" t="s">
        <v>2448</v>
      </c>
      <c r="B122" s="46"/>
      <c r="C122" s="49" t="n">
        <f aca="false">IF(OR(B122="",D122=""),0,COUNTIFS($B$2:$B$501,B122,$D$2:$D$501,"&lt;"&amp;D122)+COUNTIFS($B$2:$B$501,B122,$D$2:$D$501,D122,$A$2:$A$501,"&lt;"&amp;A122)+1)</f>
        <v>0</v>
      </c>
      <c r="D122" s="46"/>
      <c r="E122" s="46"/>
      <c r="F122" s="46"/>
      <c r="G122" s="46"/>
      <c r="H122" s="46"/>
      <c r="I122" s="46"/>
      <c r="J122" s="46"/>
      <c r="K122" s="46"/>
      <c r="L122" s="46"/>
      <c r="M122" s="46" t="str">
        <f aca="false">IF(B122="","",IF(H122&lt;&gt;"Yes","No",IF(C122=SUMPRODUCT(MAX(($B$2:$B$501=B122)*($H$2:$H$501="Yes")*$C$2:$C$501)),"Yes","No")))</f>
        <v/>
      </c>
      <c r="N122" s="46" t="str">
        <f aca="false">IF(B122="","",IF(H122&lt;&gt;"Yes","Not frozen",IF(AND(J122="Yes",K122="Yes",L122="Yes"),"Complete","Incomplete")))</f>
        <v/>
      </c>
      <c r="O122" s="46" t="str">
        <f aca="false">IF(B122="","",IF(OR(F122="Simbli",F122="Shared folder"),"Yes","No"))</f>
        <v/>
      </c>
      <c r="P122" s="46"/>
    </row>
    <row r="123" customFormat="false" ht="15" hidden="false" customHeight="false" outlineLevel="0" collapsed="false">
      <c r="A123" s="46" t="s">
        <v>2449</v>
      </c>
      <c r="B123" s="46"/>
      <c r="C123" s="49" t="n">
        <f aca="false">IF(OR(B123="",D123=""),0,COUNTIFS($B$2:$B$501,B123,$D$2:$D$501,"&lt;"&amp;D123)+COUNTIFS($B$2:$B$501,B123,$D$2:$D$501,D123,$A$2:$A$501,"&lt;"&amp;A123)+1)</f>
        <v>0</v>
      </c>
      <c r="D123" s="46"/>
      <c r="E123" s="46"/>
      <c r="F123" s="46"/>
      <c r="G123" s="46"/>
      <c r="H123" s="46"/>
      <c r="I123" s="46"/>
      <c r="J123" s="46"/>
      <c r="K123" s="46"/>
      <c r="L123" s="46"/>
      <c r="M123" s="46" t="str">
        <f aca="false">IF(B123="","",IF(H123&lt;&gt;"Yes","No",IF(C123=SUMPRODUCT(MAX(($B$2:$B$501=B123)*($H$2:$H$501="Yes")*$C$2:$C$501)),"Yes","No")))</f>
        <v/>
      </c>
      <c r="N123" s="46" t="str">
        <f aca="false">IF(B123="","",IF(H123&lt;&gt;"Yes","Not frozen",IF(AND(J123="Yes",K123="Yes",L123="Yes"),"Complete","Incomplete")))</f>
        <v/>
      </c>
      <c r="O123" s="46" t="str">
        <f aca="false">IF(B123="","",IF(OR(F123="Simbli",F123="Shared folder"),"Yes","No"))</f>
        <v/>
      </c>
      <c r="P123" s="46"/>
    </row>
    <row r="124" customFormat="false" ht="15" hidden="false" customHeight="false" outlineLevel="0" collapsed="false">
      <c r="A124" s="46" t="s">
        <v>2450</v>
      </c>
      <c r="B124" s="46"/>
      <c r="C124" s="49" t="n">
        <f aca="false">IF(OR(B124="",D124=""),0,COUNTIFS($B$2:$B$501,B124,$D$2:$D$501,"&lt;"&amp;D124)+COUNTIFS($B$2:$B$501,B124,$D$2:$D$501,D124,$A$2:$A$501,"&lt;"&amp;A124)+1)</f>
        <v>0</v>
      </c>
      <c r="D124" s="46"/>
      <c r="E124" s="46"/>
      <c r="F124" s="46"/>
      <c r="G124" s="46"/>
      <c r="H124" s="46"/>
      <c r="I124" s="46"/>
      <c r="J124" s="46"/>
      <c r="K124" s="46"/>
      <c r="L124" s="46"/>
      <c r="M124" s="46" t="str">
        <f aca="false">IF(B124="","",IF(H124&lt;&gt;"Yes","No",IF(C124=SUMPRODUCT(MAX(($B$2:$B$501=B124)*($H$2:$H$501="Yes")*$C$2:$C$501)),"Yes","No")))</f>
        <v/>
      </c>
      <c r="N124" s="46" t="str">
        <f aca="false">IF(B124="","",IF(H124&lt;&gt;"Yes","Not frozen",IF(AND(J124="Yes",K124="Yes",L124="Yes"),"Complete","Incomplete")))</f>
        <v/>
      </c>
      <c r="O124" s="46" t="str">
        <f aca="false">IF(B124="","",IF(OR(F124="Simbli",F124="Shared folder"),"Yes","No"))</f>
        <v/>
      </c>
      <c r="P124" s="46"/>
    </row>
    <row r="125" customFormat="false" ht="15" hidden="false" customHeight="false" outlineLevel="0" collapsed="false">
      <c r="A125" s="46" t="s">
        <v>2451</v>
      </c>
      <c r="B125" s="46"/>
      <c r="C125" s="49" t="n">
        <f aca="false">IF(OR(B125="",D125=""),0,COUNTIFS($B$2:$B$501,B125,$D$2:$D$501,"&lt;"&amp;D125)+COUNTIFS($B$2:$B$501,B125,$D$2:$D$501,D125,$A$2:$A$501,"&lt;"&amp;A125)+1)</f>
        <v>0</v>
      </c>
      <c r="D125" s="46"/>
      <c r="E125" s="46"/>
      <c r="F125" s="46"/>
      <c r="G125" s="46"/>
      <c r="H125" s="46"/>
      <c r="I125" s="46"/>
      <c r="J125" s="46"/>
      <c r="K125" s="46"/>
      <c r="L125" s="46"/>
      <c r="M125" s="46" t="str">
        <f aca="false">IF(B125="","",IF(H125&lt;&gt;"Yes","No",IF(C125=SUMPRODUCT(MAX(($B$2:$B$501=B125)*($H$2:$H$501="Yes")*$C$2:$C$501)),"Yes","No")))</f>
        <v/>
      </c>
      <c r="N125" s="46" t="str">
        <f aca="false">IF(B125="","",IF(H125&lt;&gt;"Yes","Not frozen",IF(AND(J125="Yes",K125="Yes",L125="Yes"),"Complete","Incomplete")))</f>
        <v/>
      </c>
      <c r="O125" s="46" t="str">
        <f aca="false">IF(B125="","",IF(OR(F125="Simbli",F125="Shared folder"),"Yes","No"))</f>
        <v/>
      </c>
      <c r="P125" s="46"/>
    </row>
    <row r="126" customFormat="false" ht="15" hidden="false" customHeight="false" outlineLevel="0" collapsed="false">
      <c r="A126" s="46" t="s">
        <v>2452</v>
      </c>
      <c r="B126" s="46"/>
      <c r="C126" s="49" t="n">
        <f aca="false">IF(OR(B126="",D126=""),0,COUNTIFS($B$2:$B$501,B126,$D$2:$D$501,"&lt;"&amp;D126)+COUNTIFS($B$2:$B$501,B126,$D$2:$D$501,D126,$A$2:$A$501,"&lt;"&amp;A126)+1)</f>
        <v>0</v>
      </c>
      <c r="D126" s="46"/>
      <c r="E126" s="46"/>
      <c r="F126" s="46"/>
      <c r="G126" s="46"/>
      <c r="H126" s="46"/>
      <c r="I126" s="46"/>
      <c r="J126" s="46"/>
      <c r="K126" s="46"/>
      <c r="L126" s="46"/>
      <c r="M126" s="46" t="str">
        <f aca="false">IF(B126="","",IF(H126&lt;&gt;"Yes","No",IF(C126=SUMPRODUCT(MAX(($B$2:$B$501=B126)*($H$2:$H$501="Yes")*$C$2:$C$501)),"Yes","No")))</f>
        <v/>
      </c>
      <c r="N126" s="46" t="str">
        <f aca="false">IF(B126="","",IF(H126&lt;&gt;"Yes","Not frozen",IF(AND(J126="Yes",K126="Yes",L126="Yes"),"Complete","Incomplete")))</f>
        <v/>
      </c>
      <c r="O126" s="46" t="str">
        <f aca="false">IF(B126="","",IF(OR(F126="Simbli",F126="Shared folder"),"Yes","No"))</f>
        <v/>
      </c>
      <c r="P126" s="46"/>
    </row>
    <row r="127" customFormat="false" ht="15" hidden="false" customHeight="false" outlineLevel="0" collapsed="false">
      <c r="A127" s="46" t="s">
        <v>2453</v>
      </c>
      <c r="B127" s="46"/>
      <c r="C127" s="49" t="n">
        <f aca="false">IF(OR(B127="",D127=""),0,COUNTIFS($B$2:$B$501,B127,$D$2:$D$501,"&lt;"&amp;D127)+COUNTIFS($B$2:$B$501,B127,$D$2:$D$501,D127,$A$2:$A$501,"&lt;"&amp;A127)+1)</f>
        <v>0</v>
      </c>
      <c r="D127" s="46"/>
      <c r="E127" s="46"/>
      <c r="F127" s="46"/>
      <c r="G127" s="46"/>
      <c r="H127" s="46"/>
      <c r="I127" s="46"/>
      <c r="J127" s="46"/>
      <c r="K127" s="46"/>
      <c r="L127" s="46"/>
      <c r="M127" s="46" t="str">
        <f aca="false">IF(B127="","",IF(H127&lt;&gt;"Yes","No",IF(C127=SUMPRODUCT(MAX(($B$2:$B$501=B127)*($H$2:$H$501="Yes")*$C$2:$C$501)),"Yes","No")))</f>
        <v/>
      </c>
      <c r="N127" s="46" t="str">
        <f aca="false">IF(B127="","",IF(H127&lt;&gt;"Yes","Not frozen",IF(AND(J127="Yes",K127="Yes",L127="Yes"),"Complete","Incomplete")))</f>
        <v/>
      </c>
      <c r="O127" s="46" t="str">
        <f aca="false">IF(B127="","",IF(OR(F127="Simbli",F127="Shared folder"),"Yes","No"))</f>
        <v/>
      </c>
      <c r="P127" s="46"/>
    </row>
    <row r="128" customFormat="false" ht="15" hidden="false" customHeight="false" outlineLevel="0" collapsed="false">
      <c r="A128" s="46" t="s">
        <v>2454</v>
      </c>
      <c r="B128" s="46"/>
      <c r="C128" s="49" t="n">
        <f aca="false">IF(OR(B128="",D128=""),0,COUNTIFS($B$2:$B$501,B128,$D$2:$D$501,"&lt;"&amp;D128)+COUNTIFS($B$2:$B$501,B128,$D$2:$D$501,D128,$A$2:$A$501,"&lt;"&amp;A128)+1)</f>
        <v>0</v>
      </c>
      <c r="D128" s="46"/>
      <c r="E128" s="46"/>
      <c r="F128" s="46"/>
      <c r="G128" s="46"/>
      <c r="H128" s="46"/>
      <c r="I128" s="46"/>
      <c r="J128" s="46"/>
      <c r="K128" s="46"/>
      <c r="L128" s="46"/>
      <c r="M128" s="46" t="str">
        <f aca="false">IF(B128="","",IF(H128&lt;&gt;"Yes","No",IF(C128=SUMPRODUCT(MAX(($B$2:$B$501=B128)*($H$2:$H$501="Yes")*$C$2:$C$501)),"Yes","No")))</f>
        <v/>
      </c>
      <c r="N128" s="46" t="str">
        <f aca="false">IF(B128="","",IF(H128&lt;&gt;"Yes","Not frozen",IF(AND(J128="Yes",K128="Yes",L128="Yes"),"Complete","Incomplete")))</f>
        <v/>
      </c>
      <c r="O128" s="46" t="str">
        <f aca="false">IF(B128="","",IF(OR(F128="Simbli",F128="Shared folder"),"Yes","No"))</f>
        <v/>
      </c>
      <c r="P128" s="46"/>
    </row>
    <row r="129" customFormat="false" ht="15" hidden="false" customHeight="false" outlineLevel="0" collapsed="false">
      <c r="A129" s="46" t="s">
        <v>2455</v>
      </c>
      <c r="B129" s="46"/>
      <c r="C129" s="49" t="n">
        <f aca="false">IF(OR(B129="",D129=""),0,COUNTIFS($B$2:$B$501,B129,$D$2:$D$501,"&lt;"&amp;D129)+COUNTIFS($B$2:$B$501,B129,$D$2:$D$501,D129,$A$2:$A$501,"&lt;"&amp;A129)+1)</f>
        <v>0</v>
      </c>
      <c r="D129" s="46"/>
      <c r="E129" s="46"/>
      <c r="F129" s="46"/>
      <c r="G129" s="46"/>
      <c r="H129" s="46"/>
      <c r="I129" s="46"/>
      <c r="J129" s="46"/>
      <c r="K129" s="46"/>
      <c r="L129" s="46"/>
      <c r="M129" s="46" t="str">
        <f aca="false">IF(B129="","",IF(H129&lt;&gt;"Yes","No",IF(C129=SUMPRODUCT(MAX(($B$2:$B$501=B129)*($H$2:$H$501="Yes")*$C$2:$C$501)),"Yes","No")))</f>
        <v/>
      </c>
      <c r="N129" s="46" t="str">
        <f aca="false">IF(B129="","",IF(H129&lt;&gt;"Yes","Not frozen",IF(AND(J129="Yes",K129="Yes",L129="Yes"),"Complete","Incomplete")))</f>
        <v/>
      </c>
      <c r="O129" s="46" t="str">
        <f aca="false">IF(B129="","",IF(OR(F129="Simbli",F129="Shared folder"),"Yes","No"))</f>
        <v/>
      </c>
      <c r="P129" s="46"/>
    </row>
    <row r="130" customFormat="false" ht="15" hidden="false" customHeight="false" outlineLevel="0" collapsed="false">
      <c r="A130" s="46" t="s">
        <v>2456</v>
      </c>
      <c r="B130" s="46"/>
      <c r="C130" s="49" t="n">
        <f aca="false">IF(OR(B130="",D130=""),0,COUNTIFS($B$2:$B$501,B130,$D$2:$D$501,"&lt;"&amp;D130)+COUNTIFS($B$2:$B$501,B130,$D$2:$D$501,D130,$A$2:$A$501,"&lt;"&amp;A130)+1)</f>
        <v>0</v>
      </c>
      <c r="D130" s="46"/>
      <c r="E130" s="46"/>
      <c r="F130" s="46"/>
      <c r="G130" s="46"/>
      <c r="H130" s="46"/>
      <c r="I130" s="46"/>
      <c r="J130" s="46"/>
      <c r="K130" s="46"/>
      <c r="L130" s="46"/>
      <c r="M130" s="46" t="str">
        <f aca="false">IF(B130="","",IF(H130&lt;&gt;"Yes","No",IF(C130=SUMPRODUCT(MAX(($B$2:$B$501=B130)*($H$2:$H$501="Yes")*$C$2:$C$501)),"Yes","No")))</f>
        <v/>
      </c>
      <c r="N130" s="46" t="str">
        <f aca="false">IF(B130="","",IF(H130&lt;&gt;"Yes","Not frozen",IF(AND(J130="Yes",K130="Yes",L130="Yes"),"Complete","Incomplete")))</f>
        <v/>
      </c>
      <c r="O130" s="46" t="str">
        <f aca="false">IF(B130="","",IF(OR(F130="Simbli",F130="Shared folder"),"Yes","No"))</f>
        <v/>
      </c>
      <c r="P130" s="46"/>
    </row>
    <row r="131" customFormat="false" ht="15" hidden="false" customHeight="false" outlineLevel="0" collapsed="false">
      <c r="A131" s="46" t="s">
        <v>2457</v>
      </c>
      <c r="B131" s="46"/>
      <c r="C131" s="49" t="n">
        <f aca="false">IF(OR(B131="",D131=""),0,COUNTIFS($B$2:$B$501,B131,$D$2:$D$501,"&lt;"&amp;D131)+COUNTIFS($B$2:$B$501,B131,$D$2:$D$501,D131,$A$2:$A$501,"&lt;"&amp;A131)+1)</f>
        <v>0</v>
      </c>
      <c r="D131" s="46"/>
      <c r="E131" s="46"/>
      <c r="F131" s="46"/>
      <c r="G131" s="46"/>
      <c r="H131" s="46"/>
      <c r="I131" s="46"/>
      <c r="J131" s="46"/>
      <c r="K131" s="46"/>
      <c r="L131" s="46"/>
      <c r="M131" s="46" t="str">
        <f aca="false">IF(B131="","",IF(H131&lt;&gt;"Yes","No",IF(C131=SUMPRODUCT(MAX(($B$2:$B$501=B131)*($H$2:$H$501="Yes")*$C$2:$C$501)),"Yes","No")))</f>
        <v/>
      </c>
      <c r="N131" s="46" t="str">
        <f aca="false">IF(B131="","",IF(H131&lt;&gt;"Yes","Not frozen",IF(AND(J131="Yes",K131="Yes",L131="Yes"),"Complete","Incomplete")))</f>
        <v/>
      </c>
      <c r="O131" s="46" t="str">
        <f aca="false">IF(B131="","",IF(OR(F131="Simbli",F131="Shared folder"),"Yes","No"))</f>
        <v/>
      </c>
      <c r="P131" s="46"/>
    </row>
    <row r="132" customFormat="false" ht="15" hidden="false" customHeight="false" outlineLevel="0" collapsed="false">
      <c r="A132" s="46" t="s">
        <v>2458</v>
      </c>
      <c r="B132" s="46"/>
      <c r="C132" s="49" t="n">
        <f aca="false">IF(OR(B132="",D132=""),0,COUNTIFS($B$2:$B$501,B132,$D$2:$D$501,"&lt;"&amp;D132)+COUNTIFS($B$2:$B$501,B132,$D$2:$D$501,D132,$A$2:$A$501,"&lt;"&amp;A132)+1)</f>
        <v>0</v>
      </c>
      <c r="D132" s="46"/>
      <c r="E132" s="46"/>
      <c r="F132" s="46"/>
      <c r="G132" s="46"/>
      <c r="H132" s="46"/>
      <c r="I132" s="46"/>
      <c r="J132" s="46"/>
      <c r="K132" s="46"/>
      <c r="L132" s="46"/>
      <c r="M132" s="46" t="str">
        <f aca="false">IF(B132="","",IF(H132&lt;&gt;"Yes","No",IF(C132=SUMPRODUCT(MAX(($B$2:$B$501=B132)*($H$2:$H$501="Yes")*$C$2:$C$501)),"Yes","No")))</f>
        <v/>
      </c>
      <c r="N132" s="46" t="str">
        <f aca="false">IF(B132="","",IF(H132&lt;&gt;"Yes","Not frozen",IF(AND(J132="Yes",K132="Yes",L132="Yes"),"Complete","Incomplete")))</f>
        <v/>
      </c>
      <c r="O132" s="46" t="str">
        <f aca="false">IF(B132="","",IF(OR(F132="Simbli",F132="Shared folder"),"Yes","No"))</f>
        <v/>
      </c>
      <c r="P132" s="46"/>
    </row>
    <row r="133" customFormat="false" ht="15" hidden="false" customHeight="false" outlineLevel="0" collapsed="false">
      <c r="A133" s="46" t="s">
        <v>2459</v>
      </c>
      <c r="B133" s="46"/>
      <c r="C133" s="49" t="n">
        <f aca="false">IF(OR(B133="",D133=""),0,COUNTIFS($B$2:$B$501,B133,$D$2:$D$501,"&lt;"&amp;D133)+COUNTIFS($B$2:$B$501,B133,$D$2:$D$501,D133,$A$2:$A$501,"&lt;"&amp;A133)+1)</f>
        <v>0</v>
      </c>
      <c r="D133" s="46"/>
      <c r="E133" s="46"/>
      <c r="F133" s="46"/>
      <c r="G133" s="46"/>
      <c r="H133" s="46"/>
      <c r="I133" s="46"/>
      <c r="J133" s="46"/>
      <c r="K133" s="46"/>
      <c r="L133" s="46"/>
      <c r="M133" s="46" t="str">
        <f aca="false">IF(B133="","",IF(H133&lt;&gt;"Yes","No",IF(C133=SUMPRODUCT(MAX(($B$2:$B$501=B133)*($H$2:$H$501="Yes")*$C$2:$C$501)),"Yes","No")))</f>
        <v/>
      </c>
      <c r="N133" s="46" t="str">
        <f aca="false">IF(B133="","",IF(H133&lt;&gt;"Yes","Not frozen",IF(AND(J133="Yes",K133="Yes",L133="Yes"),"Complete","Incomplete")))</f>
        <v/>
      </c>
      <c r="O133" s="46" t="str">
        <f aca="false">IF(B133="","",IF(OR(F133="Simbli",F133="Shared folder"),"Yes","No"))</f>
        <v/>
      </c>
      <c r="P133" s="46"/>
    </row>
    <row r="134" customFormat="false" ht="15" hidden="false" customHeight="false" outlineLevel="0" collapsed="false">
      <c r="A134" s="46" t="s">
        <v>2460</v>
      </c>
      <c r="B134" s="46"/>
      <c r="C134" s="49" t="n">
        <f aca="false">IF(OR(B134="",D134=""),0,COUNTIFS($B$2:$B$501,B134,$D$2:$D$501,"&lt;"&amp;D134)+COUNTIFS($B$2:$B$501,B134,$D$2:$D$501,D134,$A$2:$A$501,"&lt;"&amp;A134)+1)</f>
        <v>0</v>
      </c>
      <c r="D134" s="46"/>
      <c r="E134" s="46"/>
      <c r="F134" s="46"/>
      <c r="G134" s="46"/>
      <c r="H134" s="46"/>
      <c r="I134" s="46"/>
      <c r="J134" s="46"/>
      <c r="K134" s="46"/>
      <c r="L134" s="46"/>
      <c r="M134" s="46" t="str">
        <f aca="false">IF(B134="","",IF(H134&lt;&gt;"Yes","No",IF(C134=SUMPRODUCT(MAX(($B$2:$B$501=B134)*($H$2:$H$501="Yes")*$C$2:$C$501)),"Yes","No")))</f>
        <v/>
      </c>
      <c r="N134" s="46" t="str">
        <f aca="false">IF(B134="","",IF(H134&lt;&gt;"Yes","Not frozen",IF(AND(J134="Yes",K134="Yes",L134="Yes"),"Complete","Incomplete")))</f>
        <v/>
      </c>
      <c r="O134" s="46" t="str">
        <f aca="false">IF(B134="","",IF(OR(F134="Simbli",F134="Shared folder"),"Yes","No"))</f>
        <v/>
      </c>
      <c r="P134" s="46"/>
    </row>
    <row r="135" customFormat="false" ht="15" hidden="false" customHeight="false" outlineLevel="0" collapsed="false">
      <c r="A135" s="46" t="s">
        <v>2461</v>
      </c>
      <c r="B135" s="46"/>
      <c r="C135" s="49" t="n">
        <f aca="false">IF(OR(B135="",D135=""),0,COUNTIFS($B$2:$B$501,B135,$D$2:$D$501,"&lt;"&amp;D135)+COUNTIFS($B$2:$B$501,B135,$D$2:$D$501,D135,$A$2:$A$501,"&lt;"&amp;A135)+1)</f>
        <v>0</v>
      </c>
      <c r="D135" s="46"/>
      <c r="E135" s="46"/>
      <c r="F135" s="46"/>
      <c r="G135" s="46"/>
      <c r="H135" s="46"/>
      <c r="I135" s="46"/>
      <c r="J135" s="46"/>
      <c r="K135" s="46"/>
      <c r="L135" s="46"/>
      <c r="M135" s="46" t="str">
        <f aca="false">IF(B135="","",IF(H135&lt;&gt;"Yes","No",IF(C135=SUMPRODUCT(MAX(($B$2:$B$501=B135)*($H$2:$H$501="Yes")*$C$2:$C$501)),"Yes","No")))</f>
        <v/>
      </c>
      <c r="N135" s="46" t="str">
        <f aca="false">IF(B135="","",IF(H135&lt;&gt;"Yes","Not frozen",IF(AND(J135="Yes",K135="Yes",L135="Yes"),"Complete","Incomplete")))</f>
        <v/>
      </c>
      <c r="O135" s="46" t="str">
        <f aca="false">IF(B135="","",IF(OR(F135="Simbli",F135="Shared folder"),"Yes","No"))</f>
        <v/>
      </c>
      <c r="P135" s="46"/>
    </row>
    <row r="136" customFormat="false" ht="15" hidden="false" customHeight="false" outlineLevel="0" collapsed="false">
      <c r="A136" s="46" t="s">
        <v>2462</v>
      </c>
      <c r="B136" s="46"/>
      <c r="C136" s="49" t="n">
        <f aca="false">IF(OR(B136="",D136=""),0,COUNTIFS($B$2:$B$501,B136,$D$2:$D$501,"&lt;"&amp;D136)+COUNTIFS($B$2:$B$501,B136,$D$2:$D$501,D136,$A$2:$A$501,"&lt;"&amp;A136)+1)</f>
        <v>0</v>
      </c>
      <c r="D136" s="46"/>
      <c r="E136" s="46"/>
      <c r="F136" s="46"/>
      <c r="G136" s="46"/>
      <c r="H136" s="46"/>
      <c r="I136" s="46"/>
      <c r="J136" s="46"/>
      <c r="K136" s="46"/>
      <c r="L136" s="46"/>
      <c r="M136" s="46" t="str">
        <f aca="false">IF(B136="","",IF(H136&lt;&gt;"Yes","No",IF(C136=SUMPRODUCT(MAX(($B$2:$B$501=B136)*($H$2:$H$501="Yes")*$C$2:$C$501)),"Yes","No")))</f>
        <v/>
      </c>
      <c r="N136" s="46" t="str">
        <f aca="false">IF(B136="","",IF(H136&lt;&gt;"Yes","Not frozen",IF(AND(J136="Yes",K136="Yes",L136="Yes"),"Complete","Incomplete")))</f>
        <v/>
      </c>
      <c r="O136" s="46" t="str">
        <f aca="false">IF(B136="","",IF(OR(F136="Simbli",F136="Shared folder"),"Yes","No"))</f>
        <v/>
      </c>
      <c r="P136" s="46"/>
    </row>
    <row r="137" customFormat="false" ht="15" hidden="false" customHeight="false" outlineLevel="0" collapsed="false">
      <c r="A137" s="46" t="s">
        <v>2463</v>
      </c>
      <c r="B137" s="46"/>
      <c r="C137" s="49" t="n">
        <f aca="false">IF(OR(B137="",D137=""),0,COUNTIFS($B$2:$B$501,B137,$D$2:$D$501,"&lt;"&amp;D137)+COUNTIFS($B$2:$B$501,B137,$D$2:$D$501,D137,$A$2:$A$501,"&lt;"&amp;A137)+1)</f>
        <v>0</v>
      </c>
      <c r="D137" s="46"/>
      <c r="E137" s="46"/>
      <c r="F137" s="46"/>
      <c r="G137" s="46"/>
      <c r="H137" s="46"/>
      <c r="I137" s="46"/>
      <c r="J137" s="46"/>
      <c r="K137" s="46"/>
      <c r="L137" s="46"/>
      <c r="M137" s="46" t="str">
        <f aca="false">IF(B137="","",IF(H137&lt;&gt;"Yes","No",IF(C137=SUMPRODUCT(MAX(($B$2:$B$501=B137)*($H$2:$H$501="Yes")*$C$2:$C$501)),"Yes","No")))</f>
        <v/>
      </c>
      <c r="N137" s="46" t="str">
        <f aca="false">IF(B137="","",IF(H137&lt;&gt;"Yes","Not frozen",IF(AND(J137="Yes",K137="Yes",L137="Yes"),"Complete","Incomplete")))</f>
        <v/>
      </c>
      <c r="O137" s="46" t="str">
        <f aca="false">IF(B137="","",IF(OR(F137="Simbli",F137="Shared folder"),"Yes","No"))</f>
        <v/>
      </c>
      <c r="P137" s="46"/>
    </row>
    <row r="138" customFormat="false" ht="15" hidden="false" customHeight="false" outlineLevel="0" collapsed="false">
      <c r="A138" s="46" t="s">
        <v>2464</v>
      </c>
      <c r="B138" s="46"/>
      <c r="C138" s="49" t="n">
        <f aca="false">IF(OR(B138="",D138=""),0,COUNTIFS($B$2:$B$501,B138,$D$2:$D$501,"&lt;"&amp;D138)+COUNTIFS($B$2:$B$501,B138,$D$2:$D$501,D138,$A$2:$A$501,"&lt;"&amp;A138)+1)</f>
        <v>0</v>
      </c>
      <c r="D138" s="46"/>
      <c r="E138" s="46"/>
      <c r="F138" s="46"/>
      <c r="G138" s="46"/>
      <c r="H138" s="46"/>
      <c r="I138" s="46"/>
      <c r="J138" s="46"/>
      <c r="K138" s="46"/>
      <c r="L138" s="46"/>
      <c r="M138" s="46" t="str">
        <f aca="false">IF(B138="","",IF(H138&lt;&gt;"Yes","No",IF(C138=SUMPRODUCT(MAX(($B$2:$B$501=B138)*($H$2:$H$501="Yes")*$C$2:$C$501)),"Yes","No")))</f>
        <v/>
      </c>
      <c r="N138" s="46" t="str">
        <f aca="false">IF(B138="","",IF(H138&lt;&gt;"Yes","Not frozen",IF(AND(J138="Yes",K138="Yes",L138="Yes"),"Complete","Incomplete")))</f>
        <v/>
      </c>
      <c r="O138" s="46" t="str">
        <f aca="false">IF(B138="","",IF(OR(F138="Simbli",F138="Shared folder"),"Yes","No"))</f>
        <v/>
      </c>
      <c r="P138" s="46"/>
    </row>
    <row r="139" customFormat="false" ht="15" hidden="false" customHeight="false" outlineLevel="0" collapsed="false">
      <c r="A139" s="46" t="s">
        <v>2465</v>
      </c>
      <c r="B139" s="46"/>
      <c r="C139" s="49" t="n">
        <f aca="false">IF(OR(B139="",D139=""),0,COUNTIFS($B$2:$B$501,B139,$D$2:$D$501,"&lt;"&amp;D139)+COUNTIFS($B$2:$B$501,B139,$D$2:$D$501,D139,$A$2:$A$501,"&lt;"&amp;A139)+1)</f>
        <v>0</v>
      </c>
      <c r="D139" s="46"/>
      <c r="E139" s="46"/>
      <c r="F139" s="46"/>
      <c r="G139" s="46"/>
      <c r="H139" s="46"/>
      <c r="I139" s="46"/>
      <c r="J139" s="46"/>
      <c r="K139" s="46"/>
      <c r="L139" s="46"/>
      <c r="M139" s="46" t="str">
        <f aca="false">IF(B139="","",IF(H139&lt;&gt;"Yes","No",IF(C139=SUMPRODUCT(MAX(($B$2:$B$501=B139)*($H$2:$H$501="Yes")*$C$2:$C$501)),"Yes","No")))</f>
        <v/>
      </c>
      <c r="N139" s="46" t="str">
        <f aca="false">IF(B139="","",IF(H139&lt;&gt;"Yes","Not frozen",IF(AND(J139="Yes",K139="Yes",L139="Yes"),"Complete","Incomplete")))</f>
        <v/>
      </c>
      <c r="O139" s="46" t="str">
        <f aca="false">IF(B139="","",IF(OR(F139="Simbli",F139="Shared folder"),"Yes","No"))</f>
        <v/>
      </c>
      <c r="P139" s="46"/>
    </row>
    <row r="140" customFormat="false" ht="15" hidden="false" customHeight="false" outlineLevel="0" collapsed="false">
      <c r="A140" s="46" t="s">
        <v>2466</v>
      </c>
      <c r="B140" s="46"/>
      <c r="C140" s="49" t="n">
        <f aca="false">IF(OR(B140="",D140=""),0,COUNTIFS($B$2:$B$501,B140,$D$2:$D$501,"&lt;"&amp;D140)+COUNTIFS($B$2:$B$501,B140,$D$2:$D$501,D140,$A$2:$A$501,"&lt;"&amp;A140)+1)</f>
        <v>0</v>
      </c>
      <c r="D140" s="46"/>
      <c r="E140" s="46"/>
      <c r="F140" s="46"/>
      <c r="G140" s="46"/>
      <c r="H140" s="46"/>
      <c r="I140" s="46"/>
      <c r="J140" s="46"/>
      <c r="K140" s="46"/>
      <c r="L140" s="46"/>
      <c r="M140" s="46" t="str">
        <f aca="false">IF(B140="","",IF(H140&lt;&gt;"Yes","No",IF(C140=SUMPRODUCT(MAX(($B$2:$B$501=B140)*($H$2:$H$501="Yes")*$C$2:$C$501)),"Yes","No")))</f>
        <v/>
      </c>
      <c r="N140" s="46" t="str">
        <f aca="false">IF(B140="","",IF(H140&lt;&gt;"Yes","Not frozen",IF(AND(J140="Yes",K140="Yes",L140="Yes"),"Complete","Incomplete")))</f>
        <v/>
      </c>
      <c r="O140" s="46" t="str">
        <f aca="false">IF(B140="","",IF(OR(F140="Simbli",F140="Shared folder"),"Yes","No"))</f>
        <v/>
      </c>
      <c r="P140" s="46"/>
    </row>
    <row r="141" customFormat="false" ht="15" hidden="false" customHeight="false" outlineLevel="0" collapsed="false">
      <c r="A141" s="46" t="s">
        <v>2467</v>
      </c>
      <c r="B141" s="46"/>
      <c r="C141" s="49" t="n">
        <f aca="false">IF(OR(B141="",D141=""),0,COUNTIFS($B$2:$B$501,B141,$D$2:$D$501,"&lt;"&amp;D141)+COUNTIFS($B$2:$B$501,B141,$D$2:$D$501,D141,$A$2:$A$501,"&lt;"&amp;A141)+1)</f>
        <v>0</v>
      </c>
      <c r="D141" s="46"/>
      <c r="E141" s="46"/>
      <c r="F141" s="46"/>
      <c r="G141" s="46"/>
      <c r="H141" s="46"/>
      <c r="I141" s="46"/>
      <c r="J141" s="46"/>
      <c r="K141" s="46"/>
      <c r="L141" s="46"/>
      <c r="M141" s="46" t="str">
        <f aca="false">IF(B141="","",IF(H141&lt;&gt;"Yes","No",IF(C141=SUMPRODUCT(MAX(($B$2:$B$501=B141)*($H$2:$H$501="Yes")*$C$2:$C$501)),"Yes","No")))</f>
        <v/>
      </c>
      <c r="N141" s="46" t="str">
        <f aca="false">IF(B141="","",IF(H141&lt;&gt;"Yes","Not frozen",IF(AND(J141="Yes",K141="Yes",L141="Yes"),"Complete","Incomplete")))</f>
        <v/>
      </c>
      <c r="O141" s="46" t="str">
        <f aca="false">IF(B141="","",IF(OR(F141="Simbli",F141="Shared folder"),"Yes","No"))</f>
        <v/>
      </c>
      <c r="P141" s="46"/>
    </row>
    <row r="142" customFormat="false" ht="15" hidden="false" customHeight="false" outlineLevel="0" collapsed="false">
      <c r="A142" s="46" t="s">
        <v>2468</v>
      </c>
      <c r="B142" s="46"/>
      <c r="C142" s="49" t="n">
        <f aca="false">IF(OR(B142="",D142=""),0,COUNTIFS($B$2:$B$501,B142,$D$2:$D$501,"&lt;"&amp;D142)+COUNTIFS($B$2:$B$501,B142,$D$2:$D$501,D142,$A$2:$A$501,"&lt;"&amp;A142)+1)</f>
        <v>0</v>
      </c>
      <c r="D142" s="46"/>
      <c r="E142" s="46"/>
      <c r="F142" s="46"/>
      <c r="G142" s="46"/>
      <c r="H142" s="46"/>
      <c r="I142" s="46"/>
      <c r="J142" s="46"/>
      <c r="K142" s="46"/>
      <c r="L142" s="46"/>
      <c r="M142" s="46" t="str">
        <f aca="false">IF(B142="","",IF(H142&lt;&gt;"Yes","No",IF(C142=SUMPRODUCT(MAX(($B$2:$B$501=B142)*($H$2:$H$501="Yes")*$C$2:$C$501)),"Yes","No")))</f>
        <v/>
      </c>
      <c r="N142" s="46" t="str">
        <f aca="false">IF(B142="","",IF(H142&lt;&gt;"Yes","Not frozen",IF(AND(J142="Yes",K142="Yes",L142="Yes"),"Complete","Incomplete")))</f>
        <v/>
      </c>
      <c r="O142" s="46" t="str">
        <f aca="false">IF(B142="","",IF(OR(F142="Simbli",F142="Shared folder"),"Yes","No"))</f>
        <v/>
      </c>
      <c r="P142" s="46"/>
    </row>
    <row r="143" customFormat="false" ht="15" hidden="false" customHeight="false" outlineLevel="0" collapsed="false">
      <c r="A143" s="46" t="s">
        <v>2469</v>
      </c>
      <c r="B143" s="46"/>
      <c r="C143" s="49" t="n">
        <f aca="false">IF(OR(B143="",D143=""),0,COUNTIFS($B$2:$B$501,B143,$D$2:$D$501,"&lt;"&amp;D143)+COUNTIFS($B$2:$B$501,B143,$D$2:$D$501,D143,$A$2:$A$501,"&lt;"&amp;A143)+1)</f>
        <v>0</v>
      </c>
      <c r="D143" s="46"/>
      <c r="E143" s="46"/>
      <c r="F143" s="46"/>
      <c r="G143" s="46"/>
      <c r="H143" s="46"/>
      <c r="I143" s="46"/>
      <c r="J143" s="46"/>
      <c r="K143" s="46"/>
      <c r="L143" s="46"/>
      <c r="M143" s="46" t="str">
        <f aca="false">IF(B143="","",IF(H143&lt;&gt;"Yes","No",IF(C143=SUMPRODUCT(MAX(($B$2:$B$501=B143)*($H$2:$H$501="Yes")*$C$2:$C$501)),"Yes","No")))</f>
        <v/>
      </c>
      <c r="N143" s="46" t="str">
        <f aca="false">IF(B143="","",IF(H143&lt;&gt;"Yes","Not frozen",IF(AND(J143="Yes",K143="Yes",L143="Yes"),"Complete","Incomplete")))</f>
        <v/>
      </c>
      <c r="O143" s="46" t="str">
        <f aca="false">IF(B143="","",IF(OR(F143="Simbli",F143="Shared folder"),"Yes","No"))</f>
        <v/>
      </c>
      <c r="P143" s="46"/>
    </row>
    <row r="144" customFormat="false" ht="15" hidden="false" customHeight="false" outlineLevel="0" collapsed="false">
      <c r="A144" s="46" t="s">
        <v>2470</v>
      </c>
      <c r="B144" s="46"/>
      <c r="C144" s="49" t="n">
        <f aca="false">IF(OR(B144="",D144=""),0,COUNTIFS($B$2:$B$501,B144,$D$2:$D$501,"&lt;"&amp;D144)+COUNTIFS($B$2:$B$501,B144,$D$2:$D$501,D144,$A$2:$A$501,"&lt;"&amp;A144)+1)</f>
        <v>0</v>
      </c>
      <c r="D144" s="46"/>
      <c r="E144" s="46"/>
      <c r="F144" s="46"/>
      <c r="G144" s="46"/>
      <c r="H144" s="46"/>
      <c r="I144" s="46"/>
      <c r="J144" s="46"/>
      <c r="K144" s="46"/>
      <c r="L144" s="46"/>
      <c r="M144" s="46" t="str">
        <f aca="false">IF(B144="","",IF(H144&lt;&gt;"Yes","No",IF(C144=SUMPRODUCT(MAX(($B$2:$B$501=B144)*($H$2:$H$501="Yes")*$C$2:$C$501)),"Yes","No")))</f>
        <v/>
      </c>
      <c r="N144" s="46" t="str">
        <f aca="false">IF(B144="","",IF(H144&lt;&gt;"Yes","Not frozen",IF(AND(J144="Yes",K144="Yes",L144="Yes"),"Complete","Incomplete")))</f>
        <v/>
      </c>
      <c r="O144" s="46" t="str">
        <f aca="false">IF(B144="","",IF(OR(F144="Simbli",F144="Shared folder"),"Yes","No"))</f>
        <v/>
      </c>
      <c r="P144" s="46"/>
    </row>
    <row r="145" customFormat="false" ht="15" hidden="false" customHeight="false" outlineLevel="0" collapsed="false">
      <c r="A145" s="46" t="s">
        <v>2471</v>
      </c>
      <c r="B145" s="46"/>
      <c r="C145" s="49" t="n">
        <f aca="false">IF(OR(B145="",D145=""),0,COUNTIFS($B$2:$B$501,B145,$D$2:$D$501,"&lt;"&amp;D145)+COUNTIFS($B$2:$B$501,B145,$D$2:$D$501,D145,$A$2:$A$501,"&lt;"&amp;A145)+1)</f>
        <v>0</v>
      </c>
      <c r="D145" s="46"/>
      <c r="E145" s="46"/>
      <c r="F145" s="46"/>
      <c r="G145" s="46"/>
      <c r="H145" s="46"/>
      <c r="I145" s="46"/>
      <c r="J145" s="46"/>
      <c r="K145" s="46"/>
      <c r="L145" s="46"/>
      <c r="M145" s="46" t="str">
        <f aca="false">IF(B145="","",IF(H145&lt;&gt;"Yes","No",IF(C145=SUMPRODUCT(MAX(($B$2:$B$501=B145)*($H$2:$H$501="Yes")*$C$2:$C$501)),"Yes","No")))</f>
        <v/>
      </c>
      <c r="N145" s="46" t="str">
        <f aca="false">IF(B145="","",IF(H145&lt;&gt;"Yes","Not frozen",IF(AND(J145="Yes",K145="Yes",L145="Yes"),"Complete","Incomplete")))</f>
        <v/>
      </c>
      <c r="O145" s="46" t="str">
        <f aca="false">IF(B145="","",IF(OR(F145="Simbli",F145="Shared folder"),"Yes","No"))</f>
        <v/>
      </c>
      <c r="P145" s="46"/>
    </row>
    <row r="146" customFormat="false" ht="15" hidden="false" customHeight="false" outlineLevel="0" collapsed="false">
      <c r="A146" s="46" t="s">
        <v>2472</v>
      </c>
      <c r="B146" s="46"/>
      <c r="C146" s="49" t="n">
        <f aca="false">IF(OR(B146="",D146=""),0,COUNTIFS($B$2:$B$501,B146,$D$2:$D$501,"&lt;"&amp;D146)+COUNTIFS($B$2:$B$501,B146,$D$2:$D$501,D146,$A$2:$A$501,"&lt;"&amp;A146)+1)</f>
        <v>0</v>
      </c>
      <c r="D146" s="46"/>
      <c r="E146" s="46"/>
      <c r="F146" s="46"/>
      <c r="G146" s="46"/>
      <c r="H146" s="46"/>
      <c r="I146" s="46"/>
      <c r="J146" s="46"/>
      <c r="K146" s="46"/>
      <c r="L146" s="46"/>
      <c r="M146" s="46" t="str">
        <f aca="false">IF(B146="","",IF(H146&lt;&gt;"Yes","No",IF(C146=SUMPRODUCT(MAX(($B$2:$B$501=B146)*($H$2:$H$501="Yes")*$C$2:$C$501)),"Yes","No")))</f>
        <v/>
      </c>
      <c r="N146" s="46" t="str">
        <f aca="false">IF(B146="","",IF(H146&lt;&gt;"Yes","Not frozen",IF(AND(J146="Yes",K146="Yes",L146="Yes"),"Complete","Incomplete")))</f>
        <v/>
      </c>
      <c r="O146" s="46" t="str">
        <f aca="false">IF(B146="","",IF(OR(F146="Simbli",F146="Shared folder"),"Yes","No"))</f>
        <v/>
      </c>
      <c r="P146" s="46"/>
    </row>
    <row r="147" customFormat="false" ht="15" hidden="false" customHeight="false" outlineLevel="0" collapsed="false">
      <c r="A147" s="46" t="s">
        <v>2473</v>
      </c>
      <c r="B147" s="46"/>
      <c r="C147" s="49" t="n">
        <f aca="false">IF(OR(B147="",D147=""),0,COUNTIFS($B$2:$B$501,B147,$D$2:$D$501,"&lt;"&amp;D147)+COUNTIFS($B$2:$B$501,B147,$D$2:$D$501,D147,$A$2:$A$501,"&lt;"&amp;A147)+1)</f>
        <v>0</v>
      </c>
      <c r="D147" s="46"/>
      <c r="E147" s="46"/>
      <c r="F147" s="46"/>
      <c r="G147" s="46"/>
      <c r="H147" s="46"/>
      <c r="I147" s="46"/>
      <c r="J147" s="46"/>
      <c r="K147" s="46"/>
      <c r="L147" s="46"/>
      <c r="M147" s="46" t="str">
        <f aca="false">IF(B147="","",IF(H147&lt;&gt;"Yes","No",IF(C147=SUMPRODUCT(MAX(($B$2:$B$501=B147)*($H$2:$H$501="Yes")*$C$2:$C$501)),"Yes","No")))</f>
        <v/>
      </c>
      <c r="N147" s="46" t="str">
        <f aca="false">IF(B147="","",IF(H147&lt;&gt;"Yes","Not frozen",IF(AND(J147="Yes",K147="Yes",L147="Yes"),"Complete","Incomplete")))</f>
        <v/>
      </c>
      <c r="O147" s="46" t="str">
        <f aca="false">IF(B147="","",IF(OR(F147="Simbli",F147="Shared folder"),"Yes","No"))</f>
        <v/>
      </c>
      <c r="P147" s="46"/>
    </row>
    <row r="148" customFormat="false" ht="15" hidden="false" customHeight="false" outlineLevel="0" collapsed="false">
      <c r="A148" s="46" t="s">
        <v>2474</v>
      </c>
      <c r="B148" s="46"/>
      <c r="C148" s="49" t="n">
        <f aca="false">IF(OR(B148="",D148=""),0,COUNTIFS($B$2:$B$501,B148,$D$2:$D$501,"&lt;"&amp;D148)+COUNTIFS($B$2:$B$501,B148,$D$2:$D$501,D148,$A$2:$A$501,"&lt;"&amp;A148)+1)</f>
        <v>0</v>
      </c>
      <c r="D148" s="46"/>
      <c r="E148" s="46"/>
      <c r="F148" s="46"/>
      <c r="G148" s="46"/>
      <c r="H148" s="46"/>
      <c r="I148" s="46"/>
      <c r="J148" s="46"/>
      <c r="K148" s="46"/>
      <c r="L148" s="46"/>
      <c r="M148" s="46" t="str">
        <f aca="false">IF(B148="","",IF(H148&lt;&gt;"Yes","No",IF(C148=SUMPRODUCT(MAX(($B$2:$B$501=B148)*($H$2:$H$501="Yes")*$C$2:$C$501)),"Yes","No")))</f>
        <v/>
      </c>
      <c r="N148" s="46" t="str">
        <f aca="false">IF(B148="","",IF(H148&lt;&gt;"Yes","Not frozen",IF(AND(J148="Yes",K148="Yes",L148="Yes"),"Complete","Incomplete")))</f>
        <v/>
      </c>
      <c r="O148" s="46" t="str">
        <f aca="false">IF(B148="","",IF(OR(F148="Simbli",F148="Shared folder"),"Yes","No"))</f>
        <v/>
      </c>
      <c r="P148" s="46"/>
    </row>
    <row r="149" customFormat="false" ht="15" hidden="false" customHeight="false" outlineLevel="0" collapsed="false">
      <c r="A149" s="46" t="s">
        <v>2475</v>
      </c>
      <c r="B149" s="46"/>
      <c r="C149" s="49" t="n">
        <f aca="false">IF(OR(B149="",D149=""),0,COUNTIFS($B$2:$B$501,B149,$D$2:$D$501,"&lt;"&amp;D149)+COUNTIFS($B$2:$B$501,B149,$D$2:$D$501,D149,$A$2:$A$501,"&lt;"&amp;A149)+1)</f>
        <v>0</v>
      </c>
      <c r="D149" s="46"/>
      <c r="E149" s="46"/>
      <c r="F149" s="46"/>
      <c r="G149" s="46"/>
      <c r="H149" s="46"/>
      <c r="I149" s="46"/>
      <c r="J149" s="46"/>
      <c r="K149" s="46"/>
      <c r="L149" s="46"/>
      <c r="M149" s="46" t="str">
        <f aca="false">IF(B149="","",IF(H149&lt;&gt;"Yes","No",IF(C149=SUMPRODUCT(MAX(($B$2:$B$501=B149)*($H$2:$H$501="Yes")*$C$2:$C$501)),"Yes","No")))</f>
        <v/>
      </c>
      <c r="N149" s="46" t="str">
        <f aca="false">IF(B149="","",IF(H149&lt;&gt;"Yes","Not frozen",IF(AND(J149="Yes",K149="Yes",L149="Yes"),"Complete","Incomplete")))</f>
        <v/>
      </c>
      <c r="O149" s="46" t="str">
        <f aca="false">IF(B149="","",IF(OR(F149="Simbli",F149="Shared folder"),"Yes","No"))</f>
        <v/>
      </c>
      <c r="P149" s="46"/>
    </row>
    <row r="150" customFormat="false" ht="15" hidden="false" customHeight="false" outlineLevel="0" collapsed="false">
      <c r="A150" s="46" t="s">
        <v>2476</v>
      </c>
      <c r="B150" s="46"/>
      <c r="C150" s="49" t="n">
        <f aca="false">IF(OR(B150="",D150=""),0,COUNTIFS($B$2:$B$501,B150,$D$2:$D$501,"&lt;"&amp;D150)+COUNTIFS($B$2:$B$501,B150,$D$2:$D$501,D150,$A$2:$A$501,"&lt;"&amp;A150)+1)</f>
        <v>0</v>
      </c>
      <c r="D150" s="46"/>
      <c r="E150" s="46"/>
      <c r="F150" s="46"/>
      <c r="G150" s="46"/>
      <c r="H150" s="46"/>
      <c r="I150" s="46"/>
      <c r="J150" s="46"/>
      <c r="K150" s="46"/>
      <c r="L150" s="46"/>
      <c r="M150" s="46" t="str">
        <f aca="false">IF(B150="","",IF(H150&lt;&gt;"Yes","No",IF(C150=SUMPRODUCT(MAX(($B$2:$B$501=B150)*($H$2:$H$501="Yes")*$C$2:$C$501)),"Yes","No")))</f>
        <v/>
      </c>
      <c r="N150" s="46" t="str">
        <f aca="false">IF(B150="","",IF(H150&lt;&gt;"Yes","Not frozen",IF(AND(J150="Yes",K150="Yes",L150="Yes"),"Complete","Incomplete")))</f>
        <v/>
      </c>
      <c r="O150" s="46" t="str">
        <f aca="false">IF(B150="","",IF(OR(F150="Simbli",F150="Shared folder"),"Yes","No"))</f>
        <v/>
      </c>
      <c r="P150" s="46"/>
    </row>
    <row r="151" customFormat="false" ht="15" hidden="false" customHeight="false" outlineLevel="0" collapsed="false">
      <c r="A151" s="46" t="s">
        <v>2477</v>
      </c>
      <c r="B151" s="46"/>
      <c r="C151" s="49" t="n">
        <f aca="false">IF(OR(B151="",D151=""),0,COUNTIFS($B$2:$B$501,B151,$D$2:$D$501,"&lt;"&amp;D151)+COUNTIFS($B$2:$B$501,B151,$D$2:$D$501,D151,$A$2:$A$501,"&lt;"&amp;A151)+1)</f>
        <v>0</v>
      </c>
      <c r="D151" s="46"/>
      <c r="E151" s="46"/>
      <c r="F151" s="46"/>
      <c r="G151" s="46"/>
      <c r="H151" s="46"/>
      <c r="I151" s="46"/>
      <c r="J151" s="46"/>
      <c r="K151" s="46"/>
      <c r="L151" s="46"/>
      <c r="M151" s="46" t="str">
        <f aca="false">IF(B151="","",IF(H151&lt;&gt;"Yes","No",IF(C151=SUMPRODUCT(MAX(($B$2:$B$501=B151)*($H$2:$H$501="Yes")*$C$2:$C$501)),"Yes","No")))</f>
        <v/>
      </c>
      <c r="N151" s="46" t="str">
        <f aca="false">IF(B151="","",IF(H151&lt;&gt;"Yes","Not frozen",IF(AND(J151="Yes",K151="Yes",L151="Yes"),"Complete","Incomplete")))</f>
        <v/>
      </c>
      <c r="O151" s="46" t="str">
        <f aca="false">IF(B151="","",IF(OR(F151="Simbli",F151="Shared folder"),"Yes","No"))</f>
        <v/>
      </c>
      <c r="P151" s="46"/>
    </row>
    <row r="152" customFormat="false" ht="15" hidden="false" customHeight="false" outlineLevel="0" collapsed="false">
      <c r="A152" s="46" t="s">
        <v>2478</v>
      </c>
      <c r="B152" s="46"/>
      <c r="C152" s="49" t="n">
        <f aca="false">IF(OR(B152="",D152=""),0,COUNTIFS($B$2:$B$501,B152,$D$2:$D$501,"&lt;"&amp;D152)+COUNTIFS($B$2:$B$501,B152,$D$2:$D$501,D152,$A$2:$A$501,"&lt;"&amp;A152)+1)</f>
        <v>0</v>
      </c>
      <c r="D152" s="46"/>
      <c r="E152" s="46"/>
      <c r="F152" s="46"/>
      <c r="G152" s="46"/>
      <c r="H152" s="46"/>
      <c r="I152" s="46"/>
      <c r="J152" s="46"/>
      <c r="K152" s="46"/>
      <c r="L152" s="46"/>
      <c r="M152" s="46" t="str">
        <f aca="false">IF(B152="","",IF(H152&lt;&gt;"Yes","No",IF(C152=SUMPRODUCT(MAX(($B$2:$B$501=B152)*($H$2:$H$501="Yes")*$C$2:$C$501)),"Yes","No")))</f>
        <v/>
      </c>
      <c r="N152" s="46" t="str">
        <f aca="false">IF(B152="","",IF(H152&lt;&gt;"Yes","Not frozen",IF(AND(J152="Yes",K152="Yes",L152="Yes"),"Complete","Incomplete")))</f>
        <v/>
      </c>
      <c r="O152" s="46" t="str">
        <f aca="false">IF(B152="","",IF(OR(F152="Simbli",F152="Shared folder"),"Yes","No"))</f>
        <v/>
      </c>
      <c r="P152" s="46"/>
    </row>
    <row r="153" customFormat="false" ht="15" hidden="false" customHeight="false" outlineLevel="0" collapsed="false">
      <c r="A153" s="46" t="s">
        <v>2479</v>
      </c>
      <c r="B153" s="46"/>
      <c r="C153" s="49" t="n">
        <f aca="false">IF(OR(B153="",D153=""),0,COUNTIFS($B$2:$B$501,B153,$D$2:$D$501,"&lt;"&amp;D153)+COUNTIFS($B$2:$B$501,B153,$D$2:$D$501,D153,$A$2:$A$501,"&lt;"&amp;A153)+1)</f>
        <v>0</v>
      </c>
      <c r="D153" s="46"/>
      <c r="E153" s="46"/>
      <c r="F153" s="46"/>
      <c r="G153" s="46"/>
      <c r="H153" s="46"/>
      <c r="I153" s="46"/>
      <c r="J153" s="46"/>
      <c r="K153" s="46"/>
      <c r="L153" s="46"/>
      <c r="M153" s="46" t="str">
        <f aca="false">IF(B153="","",IF(H153&lt;&gt;"Yes","No",IF(C153=SUMPRODUCT(MAX(($B$2:$B$501=B153)*($H$2:$H$501="Yes")*$C$2:$C$501)),"Yes","No")))</f>
        <v/>
      </c>
      <c r="N153" s="46" t="str">
        <f aca="false">IF(B153="","",IF(H153&lt;&gt;"Yes","Not frozen",IF(AND(J153="Yes",K153="Yes",L153="Yes"),"Complete","Incomplete")))</f>
        <v/>
      </c>
      <c r="O153" s="46" t="str">
        <f aca="false">IF(B153="","",IF(OR(F153="Simbli",F153="Shared folder"),"Yes","No"))</f>
        <v/>
      </c>
      <c r="P153" s="46"/>
    </row>
    <row r="154" customFormat="false" ht="15" hidden="false" customHeight="false" outlineLevel="0" collapsed="false">
      <c r="A154" s="46" t="s">
        <v>2480</v>
      </c>
      <c r="B154" s="46"/>
      <c r="C154" s="49" t="n">
        <f aca="false">IF(OR(B154="",D154=""),0,COUNTIFS($B$2:$B$501,B154,$D$2:$D$501,"&lt;"&amp;D154)+COUNTIFS($B$2:$B$501,B154,$D$2:$D$501,D154,$A$2:$A$501,"&lt;"&amp;A154)+1)</f>
        <v>0</v>
      </c>
      <c r="D154" s="46"/>
      <c r="E154" s="46"/>
      <c r="F154" s="46"/>
      <c r="G154" s="46"/>
      <c r="H154" s="46"/>
      <c r="I154" s="46"/>
      <c r="J154" s="46"/>
      <c r="K154" s="46"/>
      <c r="L154" s="46"/>
      <c r="M154" s="46" t="str">
        <f aca="false">IF(B154="","",IF(H154&lt;&gt;"Yes","No",IF(C154=SUMPRODUCT(MAX(($B$2:$B$501=B154)*($H$2:$H$501="Yes")*$C$2:$C$501)),"Yes","No")))</f>
        <v/>
      </c>
      <c r="N154" s="46" t="str">
        <f aca="false">IF(B154="","",IF(H154&lt;&gt;"Yes","Not frozen",IF(AND(J154="Yes",K154="Yes",L154="Yes"),"Complete","Incomplete")))</f>
        <v/>
      </c>
      <c r="O154" s="46" t="str">
        <f aca="false">IF(B154="","",IF(OR(F154="Simbli",F154="Shared folder"),"Yes","No"))</f>
        <v/>
      </c>
      <c r="P154" s="46"/>
    </row>
    <row r="155" customFormat="false" ht="15" hidden="false" customHeight="false" outlineLevel="0" collapsed="false">
      <c r="A155" s="46" t="s">
        <v>2481</v>
      </c>
      <c r="B155" s="46"/>
      <c r="C155" s="49" t="n">
        <f aca="false">IF(OR(B155="",D155=""),0,COUNTIFS($B$2:$B$501,B155,$D$2:$D$501,"&lt;"&amp;D155)+COUNTIFS($B$2:$B$501,B155,$D$2:$D$501,D155,$A$2:$A$501,"&lt;"&amp;A155)+1)</f>
        <v>0</v>
      </c>
      <c r="D155" s="46"/>
      <c r="E155" s="46"/>
      <c r="F155" s="46"/>
      <c r="G155" s="46"/>
      <c r="H155" s="46"/>
      <c r="I155" s="46"/>
      <c r="J155" s="46"/>
      <c r="K155" s="46"/>
      <c r="L155" s="46"/>
      <c r="M155" s="46" t="str">
        <f aca="false">IF(B155="","",IF(H155&lt;&gt;"Yes","No",IF(C155=SUMPRODUCT(MAX(($B$2:$B$501=B155)*($H$2:$H$501="Yes")*$C$2:$C$501)),"Yes","No")))</f>
        <v/>
      </c>
      <c r="N155" s="46" t="str">
        <f aca="false">IF(B155="","",IF(H155&lt;&gt;"Yes","Not frozen",IF(AND(J155="Yes",K155="Yes",L155="Yes"),"Complete","Incomplete")))</f>
        <v/>
      </c>
      <c r="O155" s="46" t="str">
        <f aca="false">IF(B155="","",IF(OR(F155="Simbli",F155="Shared folder"),"Yes","No"))</f>
        <v/>
      </c>
      <c r="P155" s="46"/>
    </row>
    <row r="156" customFormat="false" ht="15" hidden="false" customHeight="false" outlineLevel="0" collapsed="false">
      <c r="A156" s="46" t="s">
        <v>2482</v>
      </c>
      <c r="B156" s="46"/>
      <c r="C156" s="49" t="n">
        <f aca="false">IF(OR(B156="",D156=""),0,COUNTIFS($B$2:$B$501,B156,$D$2:$D$501,"&lt;"&amp;D156)+COUNTIFS($B$2:$B$501,B156,$D$2:$D$501,D156,$A$2:$A$501,"&lt;"&amp;A156)+1)</f>
        <v>0</v>
      </c>
      <c r="D156" s="46"/>
      <c r="E156" s="46"/>
      <c r="F156" s="46"/>
      <c r="G156" s="46"/>
      <c r="H156" s="46"/>
      <c r="I156" s="46"/>
      <c r="J156" s="46"/>
      <c r="K156" s="46"/>
      <c r="L156" s="46"/>
      <c r="M156" s="46" t="str">
        <f aca="false">IF(B156="","",IF(H156&lt;&gt;"Yes","No",IF(C156=SUMPRODUCT(MAX(($B$2:$B$501=B156)*($H$2:$H$501="Yes")*$C$2:$C$501)),"Yes","No")))</f>
        <v/>
      </c>
      <c r="N156" s="46" t="str">
        <f aca="false">IF(B156="","",IF(H156&lt;&gt;"Yes","Not frozen",IF(AND(J156="Yes",K156="Yes",L156="Yes"),"Complete","Incomplete")))</f>
        <v/>
      </c>
      <c r="O156" s="46" t="str">
        <f aca="false">IF(B156="","",IF(OR(F156="Simbli",F156="Shared folder"),"Yes","No"))</f>
        <v/>
      </c>
      <c r="P156" s="46"/>
    </row>
    <row r="157" customFormat="false" ht="15" hidden="false" customHeight="false" outlineLevel="0" collapsed="false">
      <c r="A157" s="46" t="s">
        <v>2483</v>
      </c>
      <c r="B157" s="46"/>
      <c r="C157" s="49" t="n">
        <f aca="false">IF(OR(B157="",D157=""),0,COUNTIFS($B$2:$B$501,B157,$D$2:$D$501,"&lt;"&amp;D157)+COUNTIFS($B$2:$B$501,B157,$D$2:$D$501,D157,$A$2:$A$501,"&lt;"&amp;A157)+1)</f>
        <v>0</v>
      </c>
      <c r="D157" s="46"/>
      <c r="E157" s="46"/>
      <c r="F157" s="46"/>
      <c r="G157" s="46"/>
      <c r="H157" s="46"/>
      <c r="I157" s="46"/>
      <c r="J157" s="46"/>
      <c r="K157" s="46"/>
      <c r="L157" s="46"/>
      <c r="M157" s="46" t="str">
        <f aca="false">IF(B157="","",IF(H157&lt;&gt;"Yes","No",IF(C157=SUMPRODUCT(MAX(($B$2:$B$501=B157)*($H$2:$H$501="Yes")*$C$2:$C$501)),"Yes","No")))</f>
        <v/>
      </c>
      <c r="N157" s="46" t="str">
        <f aca="false">IF(B157="","",IF(H157&lt;&gt;"Yes","Not frozen",IF(AND(J157="Yes",K157="Yes",L157="Yes"),"Complete","Incomplete")))</f>
        <v/>
      </c>
      <c r="O157" s="46" t="str">
        <f aca="false">IF(B157="","",IF(OR(F157="Simbli",F157="Shared folder"),"Yes","No"))</f>
        <v/>
      </c>
      <c r="P157" s="46"/>
    </row>
    <row r="158" customFormat="false" ht="15" hidden="false" customHeight="false" outlineLevel="0" collapsed="false">
      <c r="A158" s="46" t="s">
        <v>2484</v>
      </c>
      <c r="B158" s="46"/>
      <c r="C158" s="49" t="n">
        <f aca="false">IF(OR(B158="",D158=""),0,COUNTIFS($B$2:$B$501,B158,$D$2:$D$501,"&lt;"&amp;D158)+COUNTIFS($B$2:$B$501,B158,$D$2:$D$501,D158,$A$2:$A$501,"&lt;"&amp;A158)+1)</f>
        <v>0</v>
      </c>
      <c r="D158" s="46"/>
      <c r="E158" s="46"/>
      <c r="F158" s="46"/>
      <c r="G158" s="46"/>
      <c r="H158" s="46"/>
      <c r="I158" s="46"/>
      <c r="J158" s="46"/>
      <c r="K158" s="46"/>
      <c r="L158" s="46"/>
      <c r="M158" s="46" t="str">
        <f aca="false">IF(B158="","",IF(H158&lt;&gt;"Yes","No",IF(C158=SUMPRODUCT(MAX(($B$2:$B$501=B158)*($H$2:$H$501="Yes")*$C$2:$C$501)),"Yes","No")))</f>
        <v/>
      </c>
      <c r="N158" s="46" t="str">
        <f aca="false">IF(B158="","",IF(H158&lt;&gt;"Yes","Not frozen",IF(AND(J158="Yes",K158="Yes",L158="Yes"),"Complete","Incomplete")))</f>
        <v/>
      </c>
      <c r="O158" s="46" t="str">
        <f aca="false">IF(B158="","",IF(OR(F158="Simbli",F158="Shared folder"),"Yes","No"))</f>
        <v/>
      </c>
      <c r="P158" s="46"/>
    </row>
    <row r="159" customFormat="false" ht="15" hidden="false" customHeight="false" outlineLevel="0" collapsed="false">
      <c r="A159" s="46" t="s">
        <v>2485</v>
      </c>
      <c r="B159" s="46"/>
      <c r="C159" s="49" t="n">
        <f aca="false">IF(OR(B159="",D159=""),0,COUNTIFS($B$2:$B$501,B159,$D$2:$D$501,"&lt;"&amp;D159)+COUNTIFS($B$2:$B$501,B159,$D$2:$D$501,D159,$A$2:$A$501,"&lt;"&amp;A159)+1)</f>
        <v>0</v>
      </c>
      <c r="D159" s="46"/>
      <c r="E159" s="46"/>
      <c r="F159" s="46"/>
      <c r="G159" s="46"/>
      <c r="H159" s="46"/>
      <c r="I159" s="46"/>
      <c r="J159" s="46"/>
      <c r="K159" s="46"/>
      <c r="L159" s="46"/>
      <c r="M159" s="46" t="str">
        <f aca="false">IF(B159="","",IF(H159&lt;&gt;"Yes","No",IF(C159=SUMPRODUCT(MAX(($B$2:$B$501=B159)*($H$2:$H$501="Yes")*$C$2:$C$501)),"Yes","No")))</f>
        <v/>
      </c>
      <c r="N159" s="46" t="str">
        <f aca="false">IF(B159="","",IF(H159&lt;&gt;"Yes","Not frozen",IF(AND(J159="Yes",K159="Yes",L159="Yes"),"Complete","Incomplete")))</f>
        <v/>
      </c>
      <c r="O159" s="46" t="str">
        <f aca="false">IF(B159="","",IF(OR(F159="Simbli",F159="Shared folder"),"Yes","No"))</f>
        <v/>
      </c>
      <c r="P159" s="46"/>
    </row>
    <row r="160" customFormat="false" ht="15" hidden="false" customHeight="false" outlineLevel="0" collapsed="false">
      <c r="A160" s="46" t="s">
        <v>2486</v>
      </c>
      <c r="B160" s="46"/>
      <c r="C160" s="49" t="n">
        <f aca="false">IF(OR(B160="",D160=""),0,COUNTIFS($B$2:$B$501,B160,$D$2:$D$501,"&lt;"&amp;D160)+COUNTIFS($B$2:$B$501,B160,$D$2:$D$501,D160,$A$2:$A$501,"&lt;"&amp;A160)+1)</f>
        <v>0</v>
      </c>
      <c r="D160" s="46"/>
      <c r="E160" s="46"/>
      <c r="F160" s="46"/>
      <c r="G160" s="46"/>
      <c r="H160" s="46"/>
      <c r="I160" s="46"/>
      <c r="J160" s="46"/>
      <c r="K160" s="46"/>
      <c r="L160" s="46"/>
      <c r="M160" s="46" t="str">
        <f aca="false">IF(B160="","",IF(H160&lt;&gt;"Yes","No",IF(C160=SUMPRODUCT(MAX(($B$2:$B$501=B160)*($H$2:$H$501="Yes")*$C$2:$C$501)),"Yes","No")))</f>
        <v/>
      </c>
      <c r="N160" s="46" t="str">
        <f aca="false">IF(B160="","",IF(H160&lt;&gt;"Yes","Not frozen",IF(AND(J160="Yes",K160="Yes",L160="Yes"),"Complete","Incomplete")))</f>
        <v/>
      </c>
      <c r="O160" s="46" t="str">
        <f aca="false">IF(B160="","",IF(OR(F160="Simbli",F160="Shared folder"),"Yes","No"))</f>
        <v/>
      </c>
      <c r="P160" s="46"/>
    </row>
    <row r="161" customFormat="false" ht="15" hidden="false" customHeight="false" outlineLevel="0" collapsed="false">
      <c r="A161" s="46" t="s">
        <v>2487</v>
      </c>
      <c r="B161" s="46"/>
      <c r="C161" s="49" t="n">
        <f aca="false">IF(OR(B161="",D161=""),0,COUNTIFS($B$2:$B$501,B161,$D$2:$D$501,"&lt;"&amp;D161)+COUNTIFS($B$2:$B$501,B161,$D$2:$D$501,D161,$A$2:$A$501,"&lt;"&amp;A161)+1)</f>
        <v>0</v>
      </c>
      <c r="D161" s="46"/>
      <c r="E161" s="46"/>
      <c r="F161" s="46"/>
      <c r="G161" s="46"/>
      <c r="H161" s="46"/>
      <c r="I161" s="46"/>
      <c r="J161" s="46"/>
      <c r="K161" s="46"/>
      <c r="L161" s="46"/>
      <c r="M161" s="46" t="str">
        <f aca="false">IF(B161="","",IF(H161&lt;&gt;"Yes","No",IF(C161=SUMPRODUCT(MAX(($B$2:$B$501=B161)*($H$2:$H$501="Yes")*$C$2:$C$501)),"Yes","No")))</f>
        <v/>
      </c>
      <c r="N161" s="46" t="str">
        <f aca="false">IF(B161="","",IF(H161&lt;&gt;"Yes","Not frozen",IF(AND(J161="Yes",K161="Yes",L161="Yes"),"Complete","Incomplete")))</f>
        <v/>
      </c>
      <c r="O161" s="46" t="str">
        <f aca="false">IF(B161="","",IF(OR(F161="Simbli",F161="Shared folder"),"Yes","No"))</f>
        <v/>
      </c>
      <c r="P161" s="46"/>
    </row>
    <row r="162" customFormat="false" ht="15" hidden="false" customHeight="false" outlineLevel="0" collapsed="false">
      <c r="A162" s="46" t="s">
        <v>2488</v>
      </c>
      <c r="B162" s="46"/>
      <c r="C162" s="49" t="n">
        <f aca="false">IF(OR(B162="",D162=""),0,COUNTIFS($B$2:$B$501,B162,$D$2:$D$501,"&lt;"&amp;D162)+COUNTIFS($B$2:$B$501,B162,$D$2:$D$501,D162,$A$2:$A$501,"&lt;"&amp;A162)+1)</f>
        <v>0</v>
      </c>
      <c r="D162" s="46"/>
      <c r="E162" s="46"/>
      <c r="F162" s="46"/>
      <c r="G162" s="46"/>
      <c r="H162" s="46"/>
      <c r="I162" s="46"/>
      <c r="J162" s="46"/>
      <c r="K162" s="46"/>
      <c r="L162" s="46"/>
      <c r="M162" s="46" t="str">
        <f aca="false">IF(B162="","",IF(H162&lt;&gt;"Yes","No",IF(C162=SUMPRODUCT(MAX(($B$2:$B$501=B162)*($H$2:$H$501="Yes")*$C$2:$C$501)),"Yes","No")))</f>
        <v/>
      </c>
      <c r="N162" s="46" t="str">
        <f aca="false">IF(B162="","",IF(H162&lt;&gt;"Yes","Not frozen",IF(AND(J162="Yes",K162="Yes",L162="Yes"),"Complete","Incomplete")))</f>
        <v/>
      </c>
      <c r="O162" s="46" t="str">
        <f aca="false">IF(B162="","",IF(OR(F162="Simbli",F162="Shared folder"),"Yes","No"))</f>
        <v/>
      </c>
      <c r="P162" s="46"/>
    </row>
    <row r="163" customFormat="false" ht="15" hidden="false" customHeight="false" outlineLevel="0" collapsed="false">
      <c r="A163" s="46" t="s">
        <v>2489</v>
      </c>
      <c r="B163" s="46"/>
      <c r="C163" s="49" t="n">
        <f aca="false">IF(OR(B163="",D163=""),0,COUNTIFS($B$2:$B$501,B163,$D$2:$D$501,"&lt;"&amp;D163)+COUNTIFS($B$2:$B$501,B163,$D$2:$D$501,D163,$A$2:$A$501,"&lt;"&amp;A163)+1)</f>
        <v>0</v>
      </c>
      <c r="D163" s="46"/>
      <c r="E163" s="46"/>
      <c r="F163" s="46"/>
      <c r="G163" s="46"/>
      <c r="H163" s="46"/>
      <c r="I163" s="46"/>
      <c r="J163" s="46"/>
      <c r="K163" s="46"/>
      <c r="L163" s="46"/>
      <c r="M163" s="46" t="str">
        <f aca="false">IF(B163="","",IF(H163&lt;&gt;"Yes","No",IF(C163=SUMPRODUCT(MAX(($B$2:$B$501=B163)*($H$2:$H$501="Yes")*$C$2:$C$501)),"Yes","No")))</f>
        <v/>
      </c>
      <c r="N163" s="46" t="str">
        <f aca="false">IF(B163="","",IF(H163&lt;&gt;"Yes","Not frozen",IF(AND(J163="Yes",K163="Yes",L163="Yes"),"Complete","Incomplete")))</f>
        <v/>
      </c>
      <c r="O163" s="46" t="str">
        <f aca="false">IF(B163="","",IF(OR(F163="Simbli",F163="Shared folder"),"Yes","No"))</f>
        <v/>
      </c>
      <c r="P163" s="46"/>
    </row>
    <row r="164" customFormat="false" ht="15" hidden="false" customHeight="false" outlineLevel="0" collapsed="false">
      <c r="A164" s="46" t="s">
        <v>2490</v>
      </c>
      <c r="B164" s="46"/>
      <c r="C164" s="49" t="n">
        <f aca="false">IF(OR(B164="",D164=""),0,COUNTIFS($B$2:$B$501,B164,$D$2:$D$501,"&lt;"&amp;D164)+COUNTIFS($B$2:$B$501,B164,$D$2:$D$501,D164,$A$2:$A$501,"&lt;"&amp;A164)+1)</f>
        <v>0</v>
      </c>
      <c r="D164" s="46"/>
      <c r="E164" s="46"/>
      <c r="F164" s="46"/>
      <c r="G164" s="46"/>
      <c r="H164" s="46"/>
      <c r="I164" s="46"/>
      <c r="J164" s="46"/>
      <c r="K164" s="46"/>
      <c r="L164" s="46"/>
      <c r="M164" s="46" t="str">
        <f aca="false">IF(B164="","",IF(H164&lt;&gt;"Yes","No",IF(C164=SUMPRODUCT(MAX(($B$2:$B$501=B164)*($H$2:$H$501="Yes")*$C$2:$C$501)),"Yes","No")))</f>
        <v/>
      </c>
      <c r="N164" s="46" t="str">
        <f aca="false">IF(B164="","",IF(H164&lt;&gt;"Yes","Not frozen",IF(AND(J164="Yes",K164="Yes",L164="Yes"),"Complete","Incomplete")))</f>
        <v/>
      </c>
      <c r="O164" s="46" t="str">
        <f aca="false">IF(B164="","",IF(OR(F164="Simbli",F164="Shared folder"),"Yes","No"))</f>
        <v/>
      </c>
      <c r="P164" s="46"/>
    </row>
    <row r="165" customFormat="false" ht="15" hidden="false" customHeight="false" outlineLevel="0" collapsed="false">
      <c r="A165" s="46" t="s">
        <v>2491</v>
      </c>
      <c r="B165" s="46"/>
      <c r="C165" s="49" t="n">
        <f aca="false">IF(OR(B165="",D165=""),0,COUNTIFS($B$2:$B$501,B165,$D$2:$D$501,"&lt;"&amp;D165)+COUNTIFS($B$2:$B$501,B165,$D$2:$D$501,D165,$A$2:$A$501,"&lt;"&amp;A165)+1)</f>
        <v>0</v>
      </c>
      <c r="D165" s="46"/>
      <c r="E165" s="46"/>
      <c r="F165" s="46"/>
      <c r="G165" s="46"/>
      <c r="H165" s="46"/>
      <c r="I165" s="46"/>
      <c r="J165" s="46"/>
      <c r="K165" s="46"/>
      <c r="L165" s="46"/>
      <c r="M165" s="46" t="str">
        <f aca="false">IF(B165="","",IF(H165&lt;&gt;"Yes","No",IF(C165=SUMPRODUCT(MAX(($B$2:$B$501=B165)*($H$2:$H$501="Yes")*$C$2:$C$501)),"Yes","No")))</f>
        <v/>
      </c>
      <c r="N165" s="46" t="str">
        <f aca="false">IF(B165="","",IF(H165&lt;&gt;"Yes","Not frozen",IF(AND(J165="Yes",K165="Yes",L165="Yes"),"Complete","Incomplete")))</f>
        <v/>
      </c>
      <c r="O165" s="46" t="str">
        <f aca="false">IF(B165="","",IF(OR(F165="Simbli",F165="Shared folder"),"Yes","No"))</f>
        <v/>
      </c>
      <c r="P165" s="46"/>
    </row>
    <row r="166" customFormat="false" ht="15" hidden="false" customHeight="false" outlineLevel="0" collapsed="false">
      <c r="A166" s="46" t="s">
        <v>2492</v>
      </c>
      <c r="B166" s="46"/>
      <c r="C166" s="49" t="n">
        <f aca="false">IF(OR(B166="",D166=""),0,COUNTIFS($B$2:$B$501,B166,$D$2:$D$501,"&lt;"&amp;D166)+COUNTIFS($B$2:$B$501,B166,$D$2:$D$501,D166,$A$2:$A$501,"&lt;"&amp;A166)+1)</f>
        <v>0</v>
      </c>
      <c r="D166" s="46"/>
      <c r="E166" s="46"/>
      <c r="F166" s="46"/>
      <c r="G166" s="46"/>
      <c r="H166" s="46"/>
      <c r="I166" s="46"/>
      <c r="J166" s="46"/>
      <c r="K166" s="46"/>
      <c r="L166" s="46"/>
      <c r="M166" s="46" t="str">
        <f aca="false">IF(B166="","",IF(H166&lt;&gt;"Yes","No",IF(C166=SUMPRODUCT(MAX(($B$2:$B$501=B166)*($H$2:$H$501="Yes")*$C$2:$C$501)),"Yes","No")))</f>
        <v/>
      </c>
      <c r="N166" s="46" t="str">
        <f aca="false">IF(B166="","",IF(H166&lt;&gt;"Yes","Not frozen",IF(AND(J166="Yes",K166="Yes",L166="Yes"),"Complete","Incomplete")))</f>
        <v/>
      </c>
      <c r="O166" s="46" t="str">
        <f aca="false">IF(B166="","",IF(OR(F166="Simbli",F166="Shared folder"),"Yes","No"))</f>
        <v/>
      </c>
      <c r="P166" s="46"/>
    </row>
    <row r="167" customFormat="false" ht="15" hidden="false" customHeight="false" outlineLevel="0" collapsed="false">
      <c r="A167" s="46" t="s">
        <v>2493</v>
      </c>
      <c r="B167" s="46"/>
      <c r="C167" s="49" t="n">
        <f aca="false">IF(OR(B167="",D167=""),0,COUNTIFS($B$2:$B$501,B167,$D$2:$D$501,"&lt;"&amp;D167)+COUNTIFS($B$2:$B$501,B167,$D$2:$D$501,D167,$A$2:$A$501,"&lt;"&amp;A167)+1)</f>
        <v>0</v>
      </c>
      <c r="D167" s="46"/>
      <c r="E167" s="46"/>
      <c r="F167" s="46"/>
      <c r="G167" s="46"/>
      <c r="H167" s="46"/>
      <c r="I167" s="46"/>
      <c r="J167" s="46"/>
      <c r="K167" s="46"/>
      <c r="L167" s="46"/>
      <c r="M167" s="46" t="str">
        <f aca="false">IF(B167="","",IF(H167&lt;&gt;"Yes","No",IF(C167=SUMPRODUCT(MAX(($B$2:$B$501=B167)*($H$2:$H$501="Yes")*$C$2:$C$501)),"Yes","No")))</f>
        <v/>
      </c>
      <c r="N167" s="46" t="str">
        <f aca="false">IF(B167="","",IF(H167&lt;&gt;"Yes","Not frozen",IF(AND(J167="Yes",K167="Yes",L167="Yes"),"Complete","Incomplete")))</f>
        <v/>
      </c>
      <c r="O167" s="46" t="str">
        <f aca="false">IF(B167="","",IF(OR(F167="Simbli",F167="Shared folder"),"Yes","No"))</f>
        <v/>
      </c>
      <c r="P167" s="46"/>
    </row>
    <row r="168" customFormat="false" ht="15" hidden="false" customHeight="false" outlineLevel="0" collapsed="false">
      <c r="A168" s="46" t="s">
        <v>2494</v>
      </c>
      <c r="B168" s="46"/>
      <c r="C168" s="49" t="n">
        <f aca="false">IF(OR(B168="",D168=""),0,COUNTIFS($B$2:$B$501,B168,$D$2:$D$501,"&lt;"&amp;D168)+COUNTIFS($B$2:$B$501,B168,$D$2:$D$501,D168,$A$2:$A$501,"&lt;"&amp;A168)+1)</f>
        <v>0</v>
      </c>
      <c r="D168" s="46"/>
      <c r="E168" s="46"/>
      <c r="F168" s="46"/>
      <c r="G168" s="46"/>
      <c r="H168" s="46"/>
      <c r="I168" s="46"/>
      <c r="J168" s="46"/>
      <c r="K168" s="46"/>
      <c r="L168" s="46"/>
      <c r="M168" s="46" t="str">
        <f aca="false">IF(B168="","",IF(H168&lt;&gt;"Yes","No",IF(C168=SUMPRODUCT(MAX(($B$2:$B$501=B168)*($H$2:$H$501="Yes")*$C$2:$C$501)),"Yes","No")))</f>
        <v/>
      </c>
      <c r="N168" s="46" t="str">
        <f aca="false">IF(B168="","",IF(H168&lt;&gt;"Yes","Not frozen",IF(AND(J168="Yes",K168="Yes",L168="Yes"),"Complete","Incomplete")))</f>
        <v/>
      </c>
      <c r="O168" s="46" t="str">
        <f aca="false">IF(B168="","",IF(OR(F168="Simbli",F168="Shared folder"),"Yes","No"))</f>
        <v/>
      </c>
      <c r="P168" s="46"/>
    </row>
    <row r="169" customFormat="false" ht="15" hidden="false" customHeight="false" outlineLevel="0" collapsed="false">
      <c r="A169" s="46" t="s">
        <v>2495</v>
      </c>
      <c r="B169" s="46"/>
      <c r="C169" s="49" t="n">
        <f aca="false">IF(OR(B169="",D169=""),0,COUNTIFS($B$2:$B$501,B169,$D$2:$D$501,"&lt;"&amp;D169)+COUNTIFS($B$2:$B$501,B169,$D$2:$D$501,D169,$A$2:$A$501,"&lt;"&amp;A169)+1)</f>
        <v>0</v>
      </c>
      <c r="D169" s="46"/>
      <c r="E169" s="46"/>
      <c r="F169" s="46"/>
      <c r="G169" s="46"/>
      <c r="H169" s="46"/>
      <c r="I169" s="46"/>
      <c r="J169" s="46"/>
      <c r="K169" s="46"/>
      <c r="L169" s="46"/>
      <c r="M169" s="46" t="str">
        <f aca="false">IF(B169="","",IF(H169&lt;&gt;"Yes","No",IF(C169=SUMPRODUCT(MAX(($B$2:$B$501=B169)*($H$2:$H$501="Yes")*$C$2:$C$501)),"Yes","No")))</f>
        <v/>
      </c>
      <c r="N169" s="46" t="str">
        <f aca="false">IF(B169="","",IF(H169&lt;&gt;"Yes","Not frozen",IF(AND(J169="Yes",K169="Yes",L169="Yes"),"Complete","Incomplete")))</f>
        <v/>
      </c>
      <c r="O169" s="46" t="str">
        <f aca="false">IF(B169="","",IF(OR(F169="Simbli",F169="Shared folder"),"Yes","No"))</f>
        <v/>
      </c>
      <c r="P169" s="46"/>
    </row>
    <row r="170" customFormat="false" ht="15" hidden="false" customHeight="false" outlineLevel="0" collapsed="false">
      <c r="A170" s="46" t="s">
        <v>2496</v>
      </c>
      <c r="B170" s="46"/>
      <c r="C170" s="49" t="n">
        <f aca="false">IF(OR(B170="",D170=""),0,COUNTIFS($B$2:$B$501,B170,$D$2:$D$501,"&lt;"&amp;D170)+COUNTIFS($B$2:$B$501,B170,$D$2:$D$501,D170,$A$2:$A$501,"&lt;"&amp;A170)+1)</f>
        <v>0</v>
      </c>
      <c r="D170" s="46"/>
      <c r="E170" s="46"/>
      <c r="F170" s="46"/>
      <c r="G170" s="46"/>
      <c r="H170" s="46"/>
      <c r="I170" s="46"/>
      <c r="J170" s="46"/>
      <c r="K170" s="46"/>
      <c r="L170" s="46"/>
      <c r="M170" s="46" t="str">
        <f aca="false">IF(B170="","",IF(H170&lt;&gt;"Yes","No",IF(C170=SUMPRODUCT(MAX(($B$2:$B$501=B170)*($H$2:$H$501="Yes")*$C$2:$C$501)),"Yes","No")))</f>
        <v/>
      </c>
      <c r="N170" s="46" t="str">
        <f aca="false">IF(B170="","",IF(H170&lt;&gt;"Yes","Not frozen",IF(AND(J170="Yes",K170="Yes",L170="Yes"),"Complete","Incomplete")))</f>
        <v/>
      </c>
      <c r="O170" s="46" t="str">
        <f aca="false">IF(B170="","",IF(OR(F170="Simbli",F170="Shared folder"),"Yes","No"))</f>
        <v/>
      </c>
      <c r="P170" s="46"/>
    </row>
    <row r="171" customFormat="false" ht="15" hidden="false" customHeight="false" outlineLevel="0" collapsed="false">
      <c r="A171" s="46" t="s">
        <v>2497</v>
      </c>
      <c r="B171" s="46"/>
      <c r="C171" s="49" t="n">
        <f aca="false">IF(OR(B171="",D171=""),0,COUNTIFS($B$2:$B$501,B171,$D$2:$D$501,"&lt;"&amp;D171)+COUNTIFS($B$2:$B$501,B171,$D$2:$D$501,D171,$A$2:$A$501,"&lt;"&amp;A171)+1)</f>
        <v>0</v>
      </c>
      <c r="D171" s="46"/>
      <c r="E171" s="46"/>
      <c r="F171" s="46"/>
      <c r="G171" s="46"/>
      <c r="H171" s="46"/>
      <c r="I171" s="46"/>
      <c r="J171" s="46"/>
      <c r="K171" s="46"/>
      <c r="L171" s="46"/>
      <c r="M171" s="46" t="str">
        <f aca="false">IF(B171="","",IF(H171&lt;&gt;"Yes","No",IF(C171=SUMPRODUCT(MAX(($B$2:$B$501=B171)*($H$2:$H$501="Yes")*$C$2:$C$501)),"Yes","No")))</f>
        <v/>
      </c>
      <c r="N171" s="46" t="str">
        <f aca="false">IF(B171="","",IF(H171&lt;&gt;"Yes","Not frozen",IF(AND(J171="Yes",K171="Yes",L171="Yes"),"Complete","Incomplete")))</f>
        <v/>
      </c>
      <c r="O171" s="46" t="str">
        <f aca="false">IF(B171="","",IF(OR(F171="Simbli",F171="Shared folder"),"Yes","No"))</f>
        <v/>
      </c>
      <c r="P171" s="46"/>
    </row>
    <row r="172" customFormat="false" ht="15" hidden="false" customHeight="false" outlineLevel="0" collapsed="false">
      <c r="A172" s="46" t="s">
        <v>2498</v>
      </c>
      <c r="B172" s="46"/>
      <c r="C172" s="49" t="n">
        <f aca="false">IF(OR(B172="",D172=""),0,COUNTIFS($B$2:$B$501,B172,$D$2:$D$501,"&lt;"&amp;D172)+COUNTIFS($B$2:$B$501,B172,$D$2:$D$501,D172,$A$2:$A$501,"&lt;"&amp;A172)+1)</f>
        <v>0</v>
      </c>
      <c r="D172" s="46"/>
      <c r="E172" s="46"/>
      <c r="F172" s="46"/>
      <c r="G172" s="46"/>
      <c r="H172" s="46"/>
      <c r="I172" s="46"/>
      <c r="J172" s="46"/>
      <c r="K172" s="46"/>
      <c r="L172" s="46"/>
      <c r="M172" s="46" t="str">
        <f aca="false">IF(B172="","",IF(H172&lt;&gt;"Yes","No",IF(C172=SUMPRODUCT(MAX(($B$2:$B$501=B172)*($H$2:$H$501="Yes")*$C$2:$C$501)),"Yes","No")))</f>
        <v/>
      </c>
      <c r="N172" s="46" t="str">
        <f aca="false">IF(B172="","",IF(H172&lt;&gt;"Yes","Not frozen",IF(AND(J172="Yes",K172="Yes",L172="Yes"),"Complete","Incomplete")))</f>
        <v/>
      </c>
      <c r="O172" s="46" t="str">
        <f aca="false">IF(B172="","",IF(OR(F172="Simbli",F172="Shared folder"),"Yes","No"))</f>
        <v/>
      </c>
      <c r="P172" s="46"/>
    </row>
    <row r="173" customFormat="false" ht="15" hidden="false" customHeight="false" outlineLevel="0" collapsed="false">
      <c r="A173" s="46" t="s">
        <v>2499</v>
      </c>
      <c r="B173" s="46"/>
      <c r="C173" s="49" t="n">
        <f aca="false">IF(OR(B173="",D173=""),0,COUNTIFS($B$2:$B$501,B173,$D$2:$D$501,"&lt;"&amp;D173)+COUNTIFS($B$2:$B$501,B173,$D$2:$D$501,D173,$A$2:$A$501,"&lt;"&amp;A173)+1)</f>
        <v>0</v>
      </c>
      <c r="D173" s="46"/>
      <c r="E173" s="46"/>
      <c r="F173" s="46"/>
      <c r="G173" s="46"/>
      <c r="H173" s="46"/>
      <c r="I173" s="46"/>
      <c r="J173" s="46"/>
      <c r="K173" s="46"/>
      <c r="L173" s="46"/>
      <c r="M173" s="46" t="str">
        <f aca="false">IF(B173="","",IF(H173&lt;&gt;"Yes","No",IF(C173=SUMPRODUCT(MAX(($B$2:$B$501=B173)*($H$2:$H$501="Yes")*$C$2:$C$501)),"Yes","No")))</f>
        <v/>
      </c>
      <c r="N173" s="46" t="str">
        <f aca="false">IF(B173="","",IF(H173&lt;&gt;"Yes","Not frozen",IF(AND(J173="Yes",K173="Yes",L173="Yes"),"Complete","Incomplete")))</f>
        <v/>
      </c>
      <c r="O173" s="46" t="str">
        <f aca="false">IF(B173="","",IF(OR(F173="Simbli",F173="Shared folder"),"Yes","No"))</f>
        <v/>
      </c>
      <c r="P173" s="46"/>
    </row>
    <row r="174" customFormat="false" ht="15" hidden="false" customHeight="false" outlineLevel="0" collapsed="false">
      <c r="A174" s="46" t="s">
        <v>2500</v>
      </c>
      <c r="B174" s="46"/>
      <c r="C174" s="49" t="n">
        <f aca="false">IF(OR(B174="",D174=""),0,COUNTIFS($B$2:$B$501,B174,$D$2:$D$501,"&lt;"&amp;D174)+COUNTIFS($B$2:$B$501,B174,$D$2:$D$501,D174,$A$2:$A$501,"&lt;"&amp;A174)+1)</f>
        <v>0</v>
      </c>
      <c r="D174" s="46"/>
      <c r="E174" s="46"/>
      <c r="F174" s="46"/>
      <c r="G174" s="46"/>
      <c r="H174" s="46"/>
      <c r="I174" s="46"/>
      <c r="J174" s="46"/>
      <c r="K174" s="46"/>
      <c r="L174" s="46"/>
      <c r="M174" s="46" t="str">
        <f aca="false">IF(B174="","",IF(H174&lt;&gt;"Yes","No",IF(C174=SUMPRODUCT(MAX(($B$2:$B$501=B174)*($H$2:$H$501="Yes")*$C$2:$C$501)),"Yes","No")))</f>
        <v/>
      </c>
      <c r="N174" s="46" t="str">
        <f aca="false">IF(B174="","",IF(H174&lt;&gt;"Yes","Not frozen",IF(AND(J174="Yes",K174="Yes",L174="Yes"),"Complete","Incomplete")))</f>
        <v/>
      </c>
      <c r="O174" s="46" t="str">
        <f aca="false">IF(B174="","",IF(OR(F174="Simbli",F174="Shared folder"),"Yes","No"))</f>
        <v/>
      </c>
      <c r="P174" s="46"/>
    </row>
    <row r="175" customFormat="false" ht="15" hidden="false" customHeight="false" outlineLevel="0" collapsed="false">
      <c r="A175" s="46" t="s">
        <v>2501</v>
      </c>
      <c r="B175" s="46"/>
      <c r="C175" s="49" t="n">
        <f aca="false">IF(OR(B175="",D175=""),0,COUNTIFS($B$2:$B$501,B175,$D$2:$D$501,"&lt;"&amp;D175)+COUNTIFS($B$2:$B$501,B175,$D$2:$D$501,D175,$A$2:$A$501,"&lt;"&amp;A175)+1)</f>
        <v>0</v>
      </c>
      <c r="D175" s="46"/>
      <c r="E175" s="46"/>
      <c r="F175" s="46"/>
      <c r="G175" s="46"/>
      <c r="H175" s="46"/>
      <c r="I175" s="46"/>
      <c r="J175" s="46"/>
      <c r="K175" s="46"/>
      <c r="L175" s="46"/>
      <c r="M175" s="46" t="str">
        <f aca="false">IF(B175="","",IF(H175&lt;&gt;"Yes","No",IF(C175=SUMPRODUCT(MAX(($B$2:$B$501=B175)*($H$2:$H$501="Yes")*$C$2:$C$501)),"Yes","No")))</f>
        <v/>
      </c>
      <c r="N175" s="46" t="str">
        <f aca="false">IF(B175="","",IF(H175&lt;&gt;"Yes","Not frozen",IF(AND(J175="Yes",K175="Yes",L175="Yes"),"Complete","Incomplete")))</f>
        <v/>
      </c>
      <c r="O175" s="46" t="str">
        <f aca="false">IF(B175="","",IF(OR(F175="Simbli",F175="Shared folder"),"Yes","No"))</f>
        <v/>
      </c>
      <c r="P175" s="46"/>
    </row>
    <row r="176" customFormat="false" ht="15" hidden="false" customHeight="false" outlineLevel="0" collapsed="false">
      <c r="A176" s="46" t="s">
        <v>2502</v>
      </c>
      <c r="B176" s="46"/>
      <c r="C176" s="49" t="n">
        <f aca="false">IF(OR(B176="",D176=""),0,COUNTIFS($B$2:$B$501,B176,$D$2:$D$501,"&lt;"&amp;D176)+COUNTIFS($B$2:$B$501,B176,$D$2:$D$501,D176,$A$2:$A$501,"&lt;"&amp;A176)+1)</f>
        <v>0</v>
      </c>
      <c r="D176" s="46"/>
      <c r="E176" s="46"/>
      <c r="F176" s="46"/>
      <c r="G176" s="46"/>
      <c r="H176" s="46"/>
      <c r="I176" s="46"/>
      <c r="J176" s="46"/>
      <c r="K176" s="46"/>
      <c r="L176" s="46"/>
      <c r="M176" s="46" t="str">
        <f aca="false">IF(B176="","",IF(H176&lt;&gt;"Yes","No",IF(C176=SUMPRODUCT(MAX(($B$2:$B$501=B176)*($H$2:$H$501="Yes")*$C$2:$C$501)),"Yes","No")))</f>
        <v/>
      </c>
      <c r="N176" s="46" t="str">
        <f aca="false">IF(B176="","",IF(H176&lt;&gt;"Yes","Not frozen",IF(AND(J176="Yes",K176="Yes",L176="Yes"),"Complete","Incomplete")))</f>
        <v/>
      </c>
      <c r="O176" s="46" t="str">
        <f aca="false">IF(B176="","",IF(OR(F176="Simbli",F176="Shared folder"),"Yes","No"))</f>
        <v/>
      </c>
      <c r="P176" s="46"/>
    </row>
    <row r="177" customFormat="false" ht="15" hidden="false" customHeight="false" outlineLevel="0" collapsed="false">
      <c r="A177" s="46" t="s">
        <v>2503</v>
      </c>
      <c r="B177" s="46"/>
      <c r="C177" s="49" t="n">
        <f aca="false">IF(OR(B177="",D177=""),0,COUNTIFS($B$2:$B$501,B177,$D$2:$D$501,"&lt;"&amp;D177)+COUNTIFS($B$2:$B$501,B177,$D$2:$D$501,D177,$A$2:$A$501,"&lt;"&amp;A177)+1)</f>
        <v>0</v>
      </c>
      <c r="D177" s="46"/>
      <c r="E177" s="46"/>
      <c r="F177" s="46"/>
      <c r="G177" s="46"/>
      <c r="H177" s="46"/>
      <c r="I177" s="46"/>
      <c r="J177" s="46"/>
      <c r="K177" s="46"/>
      <c r="L177" s="46"/>
      <c r="M177" s="46" t="str">
        <f aca="false">IF(B177="","",IF(H177&lt;&gt;"Yes","No",IF(C177=SUMPRODUCT(MAX(($B$2:$B$501=B177)*($H$2:$H$501="Yes")*$C$2:$C$501)),"Yes","No")))</f>
        <v/>
      </c>
      <c r="N177" s="46" t="str">
        <f aca="false">IF(B177="","",IF(H177&lt;&gt;"Yes","Not frozen",IF(AND(J177="Yes",K177="Yes",L177="Yes"),"Complete","Incomplete")))</f>
        <v/>
      </c>
      <c r="O177" s="46" t="str">
        <f aca="false">IF(B177="","",IF(OR(F177="Simbli",F177="Shared folder"),"Yes","No"))</f>
        <v/>
      </c>
      <c r="P177" s="46"/>
    </row>
    <row r="178" customFormat="false" ht="15" hidden="false" customHeight="false" outlineLevel="0" collapsed="false">
      <c r="A178" s="46" t="s">
        <v>2504</v>
      </c>
      <c r="B178" s="46"/>
      <c r="C178" s="49" t="n">
        <f aca="false">IF(OR(B178="",D178=""),0,COUNTIFS($B$2:$B$501,B178,$D$2:$D$501,"&lt;"&amp;D178)+COUNTIFS($B$2:$B$501,B178,$D$2:$D$501,D178,$A$2:$A$501,"&lt;"&amp;A178)+1)</f>
        <v>0</v>
      </c>
      <c r="D178" s="46"/>
      <c r="E178" s="46"/>
      <c r="F178" s="46"/>
      <c r="G178" s="46"/>
      <c r="H178" s="46"/>
      <c r="I178" s="46"/>
      <c r="J178" s="46"/>
      <c r="K178" s="46"/>
      <c r="L178" s="46"/>
      <c r="M178" s="46" t="str">
        <f aca="false">IF(B178="","",IF(H178&lt;&gt;"Yes","No",IF(C178=SUMPRODUCT(MAX(($B$2:$B$501=B178)*($H$2:$H$501="Yes")*$C$2:$C$501)),"Yes","No")))</f>
        <v/>
      </c>
      <c r="N178" s="46" t="str">
        <f aca="false">IF(B178="","",IF(H178&lt;&gt;"Yes","Not frozen",IF(AND(J178="Yes",K178="Yes",L178="Yes"),"Complete","Incomplete")))</f>
        <v/>
      </c>
      <c r="O178" s="46" t="str">
        <f aca="false">IF(B178="","",IF(OR(F178="Simbli",F178="Shared folder"),"Yes","No"))</f>
        <v/>
      </c>
      <c r="P178" s="46"/>
    </row>
    <row r="179" customFormat="false" ht="15" hidden="false" customHeight="false" outlineLevel="0" collapsed="false">
      <c r="A179" s="46" t="s">
        <v>2505</v>
      </c>
      <c r="B179" s="46"/>
      <c r="C179" s="49" t="n">
        <f aca="false">IF(OR(B179="",D179=""),0,COUNTIFS($B$2:$B$501,B179,$D$2:$D$501,"&lt;"&amp;D179)+COUNTIFS($B$2:$B$501,B179,$D$2:$D$501,D179,$A$2:$A$501,"&lt;"&amp;A179)+1)</f>
        <v>0</v>
      </c>
      <c r="D179" s="46"/>
      <c r="E179" s="46"/>
      <c r="F179" s="46"/>
      <c r="G179" s="46"/>
      <c r="H179" s="46"/>
      <c r="I179" s="46"/>
      <c r="J179" s="46"/>
      <c r="K179" s="46"/>
      <c r="L179" s="46"/>
      <c r="M179" s="46" t="str">
        <f aca="false">IF(B179="","",IF(H179&lt;&gt;"Yes","No",IF(C179=SUMPRODUCT(MAX(($B$2:$B$501=B179)*($H$2:$H$501="Yes")*$C$2:$C$501)),"Yes","No")))</f>
        <v/>
      </c>
      <c r="N179" s="46" t="str">
        <f aca="false">IF(B179="","",IF(H179&lt;&gt;"Yes","Not frozen",IF(AND(J179="Yes",K179="Yes",L179="Yes"),"Complete","Incomplete")))</f>
        <v/>
      </c>
      <c r="O179" s="46" t="str">
        <f aca="false">IF(B179="","",IF(OR(F179="Simbli",F179="Shared folder"),"Yes","No"))</f>
        <v/>
      </c>
      <c r="P179" s="46"/>
    </row>
    <row r="180" customFormat="false" ht="15" hidden="false" customHeight="false" outlineLevel="0" collapsed="false">
      <c r="A180" s="46" t="s">
        <v>2506</v>
      </c>
      <c r="B180" s="46"/>
      <c r="C180" s="49" t="n">
        <f aca="false">IF(OR(B180="",D180=""),0,COUNTIFS($B$2:$B$501,B180,$D$2:$D$501,"&lt;"&amp;D180)+COUNTIFS($B$2:$B$501,B180,$D$2:$D$501,D180,$A$2:$A$501,"&lt;"&amp;A180)+1)</f>
        <v>0</v>
      </c>
      <c r="D180" s="46"/>
      <c r="E180" s="46"/>
      <c r="F180" s="46"/>
      <c r="G180" s="46"/>
      <c r="H180" s="46"/>
      <c r="I180" s="46"/>
      <c r="J180" s="46"/>
      <c r="K180" s="46"/>
      <c r="L180" s="46"/>
      <c r="M180" s="46" t="str">
        <f aca="false">IF(B180="","",IF(H180&lt;&gt;"Yes","No",IF(C180=SUMPRODUCT(MAX(($B$2:$B$501=B180)*($H$2:$H$501="Yes")*$C$2:$C$501)),"Yes","No")))</f>
        <v/>
      </c>
      <c r="N180" s="46" t="str">
        <f aca="false">IF(B180="","",IF(H180&lt;&gt;"Yes","Not frozen",IF(AND(J180="Yes",K180="Yes",L180="Yes"),"Complete","Incomplete")))</f>
        <v/>
      </c>
      <c r="O180" s="46" t="str">
        <f aca="false">IF(B180="","",IF(OR(F180="Simbli",F180="Shared folder"),"Yes","No"))</f>
        <v/>
      </c>
      <c r="P180" s="46"/>
    </row>
    <row r="181" customFormat="false" ht="15" hidden="false" customHeight="false" outlineLevel="0" collapsed="false">
      <c r="A181" s="46" t="s">
        <v>2507</v>
      </c>
      <c r="B181" s="46"/>
      <c r="C181" s="49" t="n">
        <f aca="false">IF(OR(B181="",D181=""),0,COUNTIFS($B$2:$B$501,B181,$D$2:$D$501,"&lt;"&amp;D181)+COUNTIFS($B$2:$B$501,B181,$D$2:$D$501,D181,$A$2:$A$501,"&lt;"&amp;A181)+1)</f>
        <v>0</v>
      </c>
      <c r="D181" s="46"/>
      <c r="E181" s="46"/>
      <c r="F181" s="46"/>
      <c r="G181" s="46"/>
      <c r="H181" s="46"/>
      <c r="I181" s="46"/>
      <c r="J181" s="46"/>
      <c r="K181" s="46"/>
      <c r="L181" s="46"/>
      <c r="M181" s="46" t="str">
        <f aca="false">IF(B181="","",IF(H181&lt;&gt;"Yes","No",IF(C181=SUMPRODUCT(MAX(($B$2:$B$501=B181)*($H$2:$H$501="Yes")*$C$2:$C$501)),"Yes","No")))</f>
        <v/>
      </c>
      <c r="N181" s="46" t="str">
        <f aca="false">IF(B181="","",IF(H181&lt;&gt;"Yes","Not frozen",IF(AND(J181="Yes",K181="Yes",L181="Yes"),"Complete","Incomplete")))</f>
        <v/>
      </c>
      <c r="O181" s="46" t="str">
        <f aca="false">IF(B181="","",IF(OR(F181="Simbli",F181="Shared folder"),"Yes","No"))</f>
        <v/>
      </c>
      <c r="P181" s="46"/>
    </row>
    <row r="182" customFormat="false" ht="15" hidden="false" customHeight="false" outlineLevel="0" collapsed="false">
      <c r="A182" s="46" t="s">
        <v>2508</v>
      </c>
      <c r="B182" s="46"/>
      <c r="C182" s="49" t="n">
        <f aca="false">IF(OR(B182="",D182=""),0,COUNTIFS($B$2:$B$501,B182,$D$2:$D$501,"&lt;"&amp;D182)+COUNTIFS($B$2:$B$501,B182,$D$2:$D$501,D182,$A$2:$A$501,"&lt;"&amp;A182)+1)</f>
        <v>0</v>
      </c>
      <c r="D182" s="46"/>
      <c r="E182" s="46"/>
      <c r="F182" s="46"/>
      <c r="G182" s="46"/>
      <c r="H182" s="46"/>
      <c r="I182" s="46"/>
      <c r="J182" s="46"/>
      <c r="K182" s="46"/>
      <c r="L182" s="46"/>
      <c r="M182" s="46" t="str">
        <f aca="false">IF(B182="","",IF(H182&lt;&gt;"Yes","No",IF(C182=SUMPRODUCT(MAX(($B$2:$B$501=B182)*($H$2:$H$501="Yes")*$C$2:$C$501)),"Yes","No")))</f>
        <v/>
      </c>
      <c r="N182" s="46" t="str">
        <f aca="false">IF(B182="","",IF(H182&lt;&gt;"Yes","Not frozen",IF(AND(J182="Yes",K182="Yes",L182="Yes"),"Complete","Incomplete")))</f>
        <v/>
      </c>
      <c r="O182" s="46" t="str">
        <f aca="false">IF(B182="","",IF(OR(F182="Simbli",F182="Shared folder"),"Yes","No"))</f>
        <v/>
      </c>
      <c r="P182" s="46"/>
    </row>
    <row r="183" customFormat="false" ht="15" hidden="false" customHeight="false" outlineLevel="0" collapsed="false">
      <c r="A183" s="46" t="s">
        <v>2509</v>
      </c>
      <c r="B183" s="46"/>
      <c r="C183" s="49" t="n">
        <f aca="false">IF(OR(B183="",D183=""),0,COUNTIFS($B$2:$B$501,B183,$D$2:$D$501,"&lt;"&amp;D183)+COUNTIFS($B$2:$B$501,B183,$D$2:$D$501,D183,$A$2:$A$501,"&lt;"&amp;A183)+1)</f>
        <v>0</v>
      </c>
      <c r="D183" s="46"/>
      <c r="E183" s="46"/>
      <c r="F183" s="46"/>
      <c r="G183" s="46"/>
      <c r="H183" s="46"/>
      <c r="I183" s="46"/>
      <c r="J183" s="46"/>
      <c r="K183" s="46"/>
      <c r="L183" s="46"/>
      <c r="M183" s="46" t="str">
        <f aca="false">IF(B183="","",IF(H183&lt;&gt;"Yes","No",IF(C183=SUMPRODUCT(MAX(($B$2:$B$501=B183)*($H$2:$H$501="Yes")*$C$2:$C$501)),"Yes","No")))</f>
        <v/>
      </c>
      <c r="N183" s="46" t="str">
        <f aca="false">IF(B183="","",IF(H183&lt;&gt;"Yes","Not frozen",IF(AND(J183="Yes",K183="Yes",L183="Yes"),"Complete","Incomplete")))</f>
        <v/>
      </c>
      <c r="O183" s="46" t="str">
        <f aca="false">IF(B183="","",IF(OR(F183="Simbli",F183="Shared folder"),"Yes","No"))</f>
        <v/>
      </c>
      <c r="P183" s="46"/>
    </row>
    <row r="184" customFormat="false" ht="15" hidden="false" customHeight="false" outlineLevel="0" collapsed="false">
      <c r="A184" s="46" t="s">
        <v>2510</v>
      </c>
      <c r="B184" s="46"/>
      <c r="C184" s="49" t="n">
        <f aca="false">IF(OR(B184="",D184=""),0,COUNTIFS($B$2:$B$501,B184,$D$2:$D$501,"&lt;"&amp;D184)+COUNTIFS($B$2:$B$501,B184,$D$2:$D$501,D184,$A$2:$A$501,"&lt;"&amp;A184)+1)</f>
        <v>0</v>
      </c>
      <c r="D184" s="46"/>
      <c r="E184" s="46"/>
      <c r="F184" s="46"/>
      <c r="G184" s="46"/>
      <c r="H184" s="46"/>
      <c r="I184" s="46"/>
      <c r="J184" s="46"/>
      <c r="K184" s="46"/>
      <c r="L184" s="46"/>
      <c r="M184" s="46" t="str">
        <f aca="false">IF(B184="","",IF(H184&lt;&gt;"Yes","No",IF(C184=SUMPRODUCT(MAX(($B$2:$B$501=B184)*($H$2:$H$501="Yes")*$C$2:$C$501)),"Yes","No")))</f>
        <v/>
      </c>
      <c r="N184" s="46" t="str">
        <f aca="false">IF(B184="","",IF(H184&lt;&gt;"Yes","Not frozen",IF(AND(J184="Yes",K184="Yes",L184="Yes"),"Complete","Incomplete")))</f>
        <v/>
      </c>
      <c r="O184" s="46" t="str">
        <f aca="false">IF(B184="","",IF(OR(F184="Simbli",F184="Shared folder"),"Yes","No"))</f>
        <v/>
      </c>
      <c r="P184" s="46"/>
    </row>
    <row r="185" customFormat="false" ht="15" hidden="false" customHeight="false" outlineLevel="0" collapsed="false">
      <c r="A185" s="46" t="s">
        <v>2511</v>
      </c>
      <c r="B185" s="46"/>
      <c r="C185" s="49" t="n">
        <f aca="false">IF(OR(B185="",D185=""),0,COUNTIFS($B$2:$B$501,B185,$D$2:$D$501,"&lt;"&amp;D185)+COUNTIFS($B$2:$B$501,B185,$D$2:$D$501,D185,$A$2:$A$501,"&lt;"&amp;A185)+1)</f>
        <v>0</v>
      </c>
      <c r="D185" s="46"/>
      <c r="E185" s="46"/>
      <c r="F185" s="46"/>
      <c r="G185" s="46"/>
      <c r="H185" s="46"/>
      <c r="I185" s="46"/>
      <c r="J185" s="46"/>
      <c r="K185" s="46"/>
      <c r="L185" s="46"/>
      <c r="M185" s="46" t="str">
        <f aca="false">IF(B185="","",IF(H185&lt;&gt;"Yes","No",IF(C185=SUMPRODUCT(MAX(($B$2:$B$501=B185)*($H$2:$H$501="Yes")*$C$2:$C$501)),"Yes","No")))</f>
        <v/>
      </c>
      <c r="N185" s="46" t="str">
        <f aca="false">IF(B185="","",IF(H185&lt;&gt;"Yes","Not frozen",IF(AND(J185="Yes",K185="Yes",L185="Yes"),"Complete","Incomplete")))</f>
        <v/>
      </c>
      <c r="O185" s="46" t="str">
        <f aca="false">IF(B185="","",IF(OR(F185="Simbli",F185="Shared folder"),"Yes","No"))</f>
        <v/>
      </c>
      <c r="P185" s="46"/>
    </row>
    <row r="186" customFormat="false" ht="15" hidden="false" customHeight="false" outlineLevel="0" collapsed="false">
      <c r="A186" s="46" t="s">
        <v>2512</v>
      </c>
      <c r="B186" s="46"/>
      <c r="C186" s="49" t="n">
        <f aca="false">IF(OR(B186="",D186=""),0,COUNTIFS($B$2:$B$501,B186,$D$2:$D$501,"&lt;"&amp;D186)+COUNTIFS($B$2:$B$501,B186,$D$2:$D$501,D186,$A$2:$A$501,"&lt;"&amp;A186)+1)</f>
        <v>0</v>
      </c>
      <c r="D186" s="46"/>
      <c r="E186" s="46"/>
      <c r="F186" s="46"/>
      <c r="G186" s="46"/>
      <c r="H186" s="46"/>
      <c r="I186" s="46"/>
      <c r="J186" s="46"/>
      <c r="K186" s="46"/>
      <c r="L186" s="46"/>
      <c r="M186" s="46" t="str">
        <f aca="false">IF(B186="","",IF(H186&lt;&gt;"Yes","No",IF(C186=SUMPRODUCT(MAX(($B$2:$B$501=B186)*($H$2:$H$501="Yes")*$C$2:$C$501)),"Yes","No")))</f>
        <v/>
      </c>
      <c r="N186" s="46" t="str">
        <f aca="false">IF(B186="","",IF(H186&lt;&gt;"Yes","Not frozen",IF(AND(J186="Yes",K186="Yes",L186="Yes"),"Complete","Incomplete")))</f>
        <v/>
      </c>
      <c r="O186" s="46" t="str">
        <f aca="false">IF(B186="","",IF(OR(F186="Simbli",F186="Shared folder"),"Yes","No"))</f>
        <v/>
      </c>
      <c r="P186" s="46"/>
    </row>
    <row r="187" customFormat="false" ht="15" hidden="false" customHeight="false" outlineLevel="0" collapsed="false">
      <c r="A187" s="46" t="s">
        <v>2513</v>
      </c>
      <c r="B187" s="46"/>
      <c r="C187" s="49" t="n">
        <f aca="false">IF(OR(B187="",D187=""),0,COUNTIFS($B$2:$B$501,B187,$D$2:$D$501,"&lt;"&amp;D187)+COUNTIFS($B$2:$B$501,B187,$D$2:$D$501,D187,$A$2:$A$501,"&lt;"&amp;A187)+1)</f>
        <v>0</v>
      </c>
      <c r="D187" s="46"/>
      <c r="E187" s="46"/>
      <c r="F187" s="46"/>
      <c r="G187" s="46"/>
      <c r="H187" s="46"/>
      <c r="I187" s="46"/>
      <c r="J187" s="46"/>
      <c r="K187" s="46"/>
      <c r="L187" s="46"/>
      <c r="M187" s="46" t="str">
        <f aca="false">IF(B187="","",IF(H187&lt;&gt;"Yes","No",IF(C187=SUMPRODUCT(MAX(($B$2:$B$501=B187)*($H$2:$H$501="Yes")*$C$2:$C$501)),"Yes","No")))</f>
        <v/>
      </c>
      <c r="N187" s="46" t="str">
        <f aca="false">IF(B187="","",IF(H187&lt;&gt;"Yes","Not frozen",IF(AND(J187="Yes",K187="Yes",L187="Yes"),"Complete","Incomplete")))</f>
        <v/>
      </c>
      <c r="O187" s="46" t="str">
        <f aca="false">IF(B187="","",IF(OR(F187="Simbli",F187="Shared folder"),"Yes","No"))</f>
        <v/>
      </c>
      <c r="P187" s="46"/>
    </row>
    <row r="188" customFormat="false" ht="15" hidden="false" customHeight="false" outlineLevel="0" collapsed="false">
      <c r="A188" s="46" t="s">
        <v>2514</v>
      </c>
      <c r="B188" s="46"/>
      <c r="C188" s="49" t="n">
        <f aca="false">IF(OR(B188="",D188=""),0,COUNTIFS($B$2:$B$501,B188,$D$2:$D$501,"&lt;"&amp;D188)+COUNTIFS($B$2:$B$501,B188,$D$2:$D$501,D188,$A$2:$A$501,"&lt;"&amp;A188)+1)</f>
        <v>0</v>
      </c>
      <c r="D188" s="46"/>
      <c r="E188" s="46"/>
      <c r="F188" s="46"/>
      <c r="G188" s="46"/>
      <c r="H188" s="46"/>
      <c r="I188" s="46"/>
      <c r="J188" s="46"/>
      <c r="K188" s="46"/>
      <c r="L188" s="46"/>
      <c r="M188" s="46" t="str">
        <f aca="false">IF(B188="","",IF(H188&lt;&gt;"Yes","No",IF(C188=SUMPRODUCT(MAX(($B$2:$B$501=B188)*($H$2:$H$501="Yes")*$C$2:$C$501)),"Yes","No")))</f>
        <v/>
      </c>
      <c r="N188" s="46" t="str">
        <f aca="false">IF(B188="","",IF(H188&lt;&gt;"Yes","Not frozen",IF(AND(J188="Yes",K188="Yes",L188="Yes"),"Complete","Incomplete")))</f>
        <v/>
      </c>
      <c r="O188" s="46" t="str">
        <f aca="false">IF(B188="","",IF(OR(F188="Simbli",F188="Shared folder"),"Yes","No"))</f>
        <v/>
      </c>
      <c r="P188" s="46"/>
    </row>
    <row r="189" customFormat="false" ht="15" hidden="false" customHeight="false" outlineLevel="0" collapsed="false">
      <c r="A189" s="46" t="s">
        <v>2515</v>
      </c>
      <c r="B189" s="46"/>
      <c r="C189" s="49" t="n">
        <f aca="false">IF(OR(B189="",D189=""),0,COUNTIFS($B$2:$B$501,B189,$D$2:$D$501,"&lt;"&amp;D189)+COUNTIFS($B$2:$B$501,B189,$D$2:$D$501,D189,$A$2:$A$501,"&lt;"&amp;A189)+1)</f>
        <v>0</v>
      </c>
      <c r="D189" s="46"/>
      <c r="E189" s="46"/>
      <c r="F189" s="46"/>
      <c r="G189" s="46"/>
      <c r="H189" s="46"/>
      <c r="I189" s="46"/>
      <c r="J189" s="46"/>
      <c r="K189" s="46"/>
      <c r="L189" s="46"/>
      <c r="M189" s="46" t="str">
        <f aca="false">IF(B189="","",IF(H189&lt;&gt;"Yes","No",IF(C189=SUMPRODUCT(MAX(($B$2:$B$501=B189)*($H$2:$H$501="Yes")*$C$2:$C$501)),"Yes","No")))</f>
        <v/>
      </c>
      <c r="N189" s="46" t="str">
        <f aca="false">IF(B189="","",IF(H189&lt;&gt;"Yes","Not frozen",IF(AND(J189="Yes",K189="Yes",L189="Yes"),"Complete","Incomplete")))</f>
        <v/>
      </c>
      <c r="O189" s="46" t="str">
        <f aca="false">IF(B189="","",IF(OR(F189="Simbli",F189="Shared folder"),"Yes","No"))</f>
        <v/>
      </c>
      <c r="P189" s="46"/>
    </row>
    <row r="190" customFormat="false" ht="15" hidden="false" customHeight="false" outlineLevel="0" collapsed="false">
      <c r="A190" s="46" t="s">
        <v>2516</v>
      </c>
      <c r="B190" s="46"/>
      <c r="C190" s="49" t="n">
        <f aca="false">IF(OR(B190="",D190=""),0,COUNTIFS($B$2:$B$501,B190,$D$2:$D$501,"&lt;"&amp;D190)+COUNTIFS($B$2:$B$501,B190,$D$2:$D$501,D190,$A$2:$A$501,"&lt;"&amp;A190)+1)</f>
        <v>0</v>
      </c>
      <c r="D190" s="46"/>
      <c r="E190" s="46"/>
      <c r="F190" s="46"/>
      <c r="G190" s="46"/>
      <c r="H190" s="46"/>
      <c r="I190" s="46"/>
      <c r="J190" s="46"/>
      <c r="K190" s="46"/>
      <c r="L190" s="46"/>
      <c r="M190" s="46" t="str">
        <f aca="false">IF(B190="","",IF(H190&lt;&gt;"Yes","No",IF(C190=SUMPRODUCT(MAX(($B$2:$B$501=B190)*($H$2:$H$501="Yes")*$C$2:$C$501)),"Yes","No")))</f>
        <v/>
      </c>
      <c r="N190" s="46" t="str">
        <f aca="false">IF(B190="","",IF(H190&lt;&gt;"Yes","Not frozen",IF(AND(J190="Yes",K190="Yes",L190="Yes"),"Complete","Incomplete")))</f>
        <v/>
      </c>
      <c r="O190" s="46" t="str">
        <f aca="false">IF(B190="","",IF(OR(F190="Simbli",F190="Shared folder"),"Yes","No"))</f>
        <v/>
      </c>
      <c r="P190" s="46"/>
    </row>
    <row r="191" customFormat="false" ht="15" hidden="false" customHeight="false" outlineLevel="0" collapsed="false">
      <c r="A191" s="46" t="s">
        <v>2517</v>
      </c>
      <c r="B191" s="46"/>
      <c r="C191" s="49" t="n">
        <f aca="false">IF(OR(B191="",D191=""),0,COUNTIFS($B$2:$B$501,B191,$D$2:$D$501,"&lt;"&amp;D191)+COUNTIFS($B$2:$B$501,B191,$D$2:$D$501,D191,$A$2:$A$501,"&lt;"&amp;A191)+1)</f>
        <v>0</v>
      </c>
      <c r="D191" s="46"/>
      <c r="E191" s="46"/>
      <c r="F191" s="46"/>
      <c r="G191" s="46"/>
      <c r="H191" s="46"/>
      <c r="I191" s="46"/>
      <c r="J191" s="46"/>
      <c r="K191" s="46"/>
      <c r="L191" s="46"/>
      <c r="M191" s="46" t="str">
        <f aca="false">IF(B191="","",IF(H191&lt;&gt;"Yes","No",IF(C191=SUMPRODUCT(MAX(($B$2:$B$501=B191)*($H$2:$H$501="Yes")*$C$2:$C$501)),"Yes","No")))</f>
        <v/>
      </c>
      <c r="N191" s="46" t="str">
        <f aca="false">IF(B191="","",IF(H191&lt;&gt;"Yes","Not frozen",IF(AND(J191="Yes",K191="Yes",L191="Yes"),"Complete","Incomplete")))</f>
        <v/>
      </c>
      <c r="O191" s="46" t="str">
        <f aca="false">IF(B191="","",IF(OR(F191="Simbli",F191="Shared folder"),"Yes","No"))</f>
        <v/>
      </c>
      <c r="P191" s="46"/>
    </row>
    <row r="192" customFormat="false" ht="15" hidden="false" customHeight="false" outlineLevel="0" collapsed="false">
      <c r="A192" s="46" t="s">
        <v>2518</v>
      </c>
      <c r="B192" s="46"/>
      <c r="C192" s="49" t="n">
        <f aca="false">IF(OR(B192="",D192=""),0,COUNTIFS($B$2:$B$501,B192,$D$2:$D$501,"&lt;"&amp;D192)+COUNTIFS($B$2:$B$501,B192,$D$2:$D$501,D192,$A$2:$A$501,"&lt;"&amp;A192)+1)</f>
        <v>0</v>
      </c>
      <c r="D192" s="46"/>
      <c r="E192" s="46"/>
      <c r="F192" s="46"/>
      <c r="G192" s="46"/>
      <c r="H192" s="46"/>
      <c r="I192" s="46"/>
      <c r="J192" s="46"/>
      <c r="K192" s="46"/>
      <c r="L192" s="46"/>
      <c r="M192" s="46" t="str">
        <f aca="false">IF(B192="","",IF(H192&lt;&gt;"Yes","No",IF(C192=SUMPRODUCT(MAX(($B$2:$B$501=B192)*($H$2:$H$501="Yes")*$C$2:$C$501)),"Yes","No")))</f>
        <v/>
      </c>
      <c r="N192" s="46" t="str">
        <f aca="false">IF(B192="","",IF(H192&lt;&gt;"Yes","Not frozen",IF(AND(J192="Yes",K192="Yes",L192="Yes"),"Complete","Incomplete")))</f>
        <v/>
      </c>
      <c r="O192" s="46" t="str">
        <f aca="false">IF(B192="","",IF(OR(F192="Simbli",F192="Shared folder"),"Yes","No"))</f>
        <v/>
      </c>
      <c r="P192" s="46"/>
    </row>
    <row r="193" customFormat="false" ht="15" hidden="false" customHeight="false" outlineLevel="0" collapsed="false">
      <c r="A193" s="46" t="s">
        <v>2519</v>
      </c>
      <c r="B193" s="46"/>
      <c r="C193" s="49" t="n">
        <f aca="false">IF(OR(B193="",D193=""),0,COUNTIFS($B$2:$B$501,B193,$D$2:$D$501,"&lt;"&amp;D193)+COUNTIFS($B$2:$B$501,B193,$D$2:$D$501,D193,$A$2:$A$501,"&lt;"&amp;A193)+1)</f>
        <v>0</v>
      </c>
      <c r="D193" s="46"/>
      <c r="E193" s="46"/>
      <c r="F193" s="46"/>
      <c r="G193" s="46"/>
      <c r="H193" s="46"/>
      <c r="I193" s="46"/>
      <c r="J193" s="46"/>
      <c r="K193" s="46"/>
      <c r="L193" s="46"/>
      <c r="M193" s="46" t="str">
        <f aca="false">IF(B193="","",IF(H193&lt;&gt;"Yes","No",IF(C193=SUMPRODUCT(MAX(($B$2:$B$501=B193)*($H$2:$H$501="Yes")*$C$2:$C$501)),"Yes","No")))</f>
        <v/>
      </c>
      <c r="N193" s="46" t="str">
        <f aca="false">IF(B193="","",IF(H193&lt;&gt;"Yes","Not frozen",IF(AND(J193="Yes",K193="Yes",L193="Yes"),"Complete","Incomplete")))</f>
        <v/>
      </c>
      <c r="O193" s="46" t="str">
        <f aca="false">IF(B193="","",IF(OR(F193="Simbli",F193="Shared folder"),"Yes","No"))</f>
        <v/>
      </c>
      <c r="P193" s="46"/>
    </row>
    <row r="194" customFormat="false" ht="15" hidden="false" customHeight="false" outlineLevel="0" collapsed="false">
      <c r="A194" s="46" t="s">
        <v>2520</v>
      </c>
      <c r="B194" s="46"/>
      <c r="C194" s="49" t="n">
        <f aca="false">IF(OR(B194="",D194=""),0,COUNTIFS($B$2:$B$501,B194,$D$2:$D$501,"&lt;"&amp;D194)+COUNTIFS($B$2:$B$501,B194,$D$2:$D$501,D194,$A$2:$A$501,"&lt;"&amp;A194)+1)</f>
        <v>0</v>
      </c>
      <c r="D194" s="46"/>
      <c r="E194" s="46"/>
      <c r="F194" s="46"/>
      <c r="G194" s="46"/>
      <c r="H194" s="46"/>
      <c r="I194" s="46"/>
      <c r="J194" s="46"/>
      <c r="K194" s="46"/>
      <c r="L194" s="46"/>
      <c r="M194" s="46" t="str">
        <f aca="false">IF(B194="","",IF(H194&lt;&gt;"Yes","No",IF(C194=SUMPRODUCT(MAX(($B$2:$B$501=B194)*($H$2:$H$501="Yes")*$C$2:$C$501)),"Yes","No")))</f>
        <v/>
      </c>
      <c r="N194" s="46" t="str">
        <f aca="false">IF(B194="","",IF(H194&lt;&gt;"Yes","Not frozen",IF(AND(J194="Yes",K194="Yes",L194="Yes"),"Complete","Incomplete")))</f>
        <v/>
      </c>
      <c r="O194" s="46" t="str">
        <f aca="false">IF(B194="","",IF(OR(F194="Simbli",F194="Shared folder"),"Yes","No"))</f>
        <v/>
      </c>
      <c r="P194" s="46"/>
    </row>
    <row r="195" customFormat="false" ht="15" hidden="false" customHeight="false" outlineLevel="0" collapsed="false">
      <c r="A195" s="46" t="s">
        <v>2521</v>
      </c>
      <c r="B195" s="46"/>
      <c r="C195" s="49" t="n">
        <f aca="false">IF(OR(B195="",D195=""),0,COUNTIFS($B$2:$B$501,B195,$D$2:$D$501,"&lt;"&amp;D195)+COUNTIFS($B$2:$B$501,B195,$D$2:$D$501,D195,$A$2:$A$501,"&lt;"&amp;A195)+1)</f>
        <v>0</v>
      </c>
      <c r="D195" s="46"/>
      <c r="E195" s="46"/>
      <c r="F195" s="46"/>
      <c r="G195" s="46"/>
      <c r="H195" s="46"/>
      <c r="I195" s="46"/>
      <c r="J195" s="46"/>
      <c r="K195" s="46"/>
      <c r="L195" s="46"/>
      <c r="M195" s="46" t="str">
        <f aca="false">IF(B195="","",IF(H195&lt;&gt;"Yes","No",IF(C195=SUMPRODUCT(MAX(($B$2:$B$501=B195)*($H$2:$H$501="Yes")*$C$2:$C$501)),"Yes","No")))</f>
        <v/>
      </c>
      <c r="N195" s="46" t="str">
        <f aca="false">IF(B195="","",IF(H195&lt;&gt;"Yes","Not frozen",IF(AND(J195="Yes",K195="Yes",L195="Yes"),"Complete","Incomplete")))</f>
        <v/>
      </c>
      <c r="O195" s="46" t="str">
        <f aca="false">IF(B195="","",IF(OR(F195="Simbli",F195="Shared folder"),"Yes","No"))</f>
        <v/>
      </c>
      <c r="P195" s="46"/>
    </row>
    <row r="196" customFormat="false" ht="15" hidden="false" customHeight="false" outlineLevel="0" collapsed="false">
      <c r="A196" s="46" t="s">
        <v>2522</v>
      </c>
      <c r="B196" s="46"/>
      <c r="C196" s="49" t="n">
        <f aca="false">IF(OR(B196="",D196=""),0,COUNTIFS($B$2:$B$501,B196,$D$2:$D$501,"&lt;"&amp;D196)+COUNTIFS($B$2:$B$501,B196,$D$2:$D$501,D196,$A$2:$A$501,"&lt;"&amp;A196)+1)</f>
        <v>0</v>
      </c>
      <c r="D196" s="46"/>
      <c r="E196" s="46"/>
      <c r="F196" s="46"/>
      <c r="G196" s="46"/>
      <c r="H196" s="46"/>
      <c r="I196" s="46"/>
      <c r="J196" s="46"/>
      <c r="K196" s="46"/>
      <c r="L196" s="46"/>
      <c r="M196" s="46" t="str">
        <f aca="false">IF(B196="","",IF(H196&lt;&gt;"Yes","No",IF(C196=SUMPRODUCT(MAX(($B$2:$B$501=B196)*($H$2:$H$501="Yes")*$C$2:$C$501)),"Yes","No")))</f>
        <v/>
      </c>
      <c r="N196" s="46" t="str">
        <f aca="false">IF(B196="","",IF(H196&lt;&gt;"Yes","Not frozen",IF(AND(J196="Yes",K196="Yes",L196="Yes"),"Complete","Incomplete")))</f>
        <v/>
      </c>
      <c r="O196" s="46" t="str">
        <f aca="false">IF(B196="","",IF(OR(F196="Simbli",F196="Shared folder"),"Yes","No"))</f>
        <v/>
      </c>
      <c r="P196" s="46"/>
    </row>
    <row r="197" customFormat="false" ht="15" hidden="false" customHeight="false" outlineLevel="0" collapsed="false">
      <c r="A197" s="46" t="s">
        <v>2523</v>
      </c>
      <c r="B197" s="46"/>
      <c r="C197" s="49" t="n">
        <f aca="false">IF(OR(B197="",D197=""),0,COUNTIFS($B$2:$B$501,B197,$D$2:$D$501,"&lt;"&amp;D197)+COUNTIFS($B$2:$B$501,B197,$D$2:$D$501,D197,$A$2:$A$501,"&lt;"&amp;A197)+1)</f>
        <v>0</v>
      </c>
      <c r="D197" s="46"/>
      <c r="E197" s="46"/>
      <c r="F197" s="46"/>
      <c r="G197" s="46"/>
      <c r="H197" s="46"/>
      <c r="I197" s="46"/>
      <c r="J197" s="46"/>
      <c r="K197" s="46"/>
      <c r="L197" s="46"/>
      <c r="M197" s="46" t="str">
        <f aca="false">IF(B197="","",IF(H197&lt;&gt;"Yes","No",IF(C197=SUMPRODUCT(MAX(($B$2:$B$501=B197)*($H$2:$H$501="Yes")*$C$2:$C$501)),"Yes","No")))</f>
        <v/>
      </c>
      <c r="N197" s="46" t="str">
        <f aca="false">IF(B197="","",IF(H197&lt;&gt;"Yes","Not frozen",IF(AND(J197="Yes",K197="Yes",L197="Yes"),"Complete","Incomplete")))</f>
        <v/>
      </c>
      <c r="O197" s="46" t="str">
        <f aca="false">IF(B197="","",IF(OR(F197="Simbli",F197="Shared folder"),"Yes","No"))</f>
        <v/>
      </c>
      <c r="P197" s="46"/>
    </row>
    <row r="198" customFormat="false" ht="15" hidden="false" customHeight="false" outlineLevel="0" collapsed="false">
      <c r="A198" s="46" t="s">
        <v>2524</v>
      </c>
      <c r="B198" s="46"/>
      <c r="C198" s="49" t="n">
        <f aca="false">IF(OR(B198="",D198=""),0,COUNTIFS($B$2:$B$501,B198,$D$2:$D$501,"&lt;"&amp;D198)+COUNTIFS($B$2:$B$501,B198,$D$2:$D$501,D198,$A$2:$A$501,"&lt;"&amp;A198)+1)</f>
        <v>0</v>
      </c>
      <c r="D198" s="46"/>
      <c r="E198" s="46"/>
      <c r="F198" s="46"/>
      <c r="G198" s="46"/>
      <c r="H198" s="46"/>
      <c r="I198" s="46"/>
      <c r="J198" s="46"/>
      <c r="K198" s="46"/>
      <c r="L198" s="46"/>
      <c r="M198" s="46" t="str">
        <f aca="false">IF(B198="","",IF(H198&lt;&gt;"Yes","No",IF(C198=SUMPRODUCT(MAX(($B$2:$B$501=B198)*($H$2:$H$501="Yes")*$C$2:$C$501)),"Yes","No")))</f>
        <v/>
      </c>
      <c r="N198" s="46" t="str">
        <f aca="false">IF(B198="","",IF(H198&lt;&gt;"Yes","Not frozen",IF(AND(J198="Yes",K198="Yes",L198="Yes"),"Complete","Incomplete")))</f>
        <v/>
      </c>
      <c r="O198" s="46" t="str">
        <f aca="false">IF(B198="","",IF(OR(F198="Simbli",F198="Shared folder"),"Yes","No"))</f>
        <v/>
      </c>
      <c r="P198" s="46"/>
    </row>
    <row r="199" customFormat="false" ht="15" hidden="false" customHeight="false" outlineLevel="0" collapsed="false">
      <c r="A199" s="46" t="s">
        <v>2525</v>
      </c>
      <c r="B199" s="46"/>
      <c r="C199" s="49" t="n">
        <f aca="false">IF(OR(B199="",D199=""),0,COUNTIFS($B$2:$B$501,B199,$D$2:$D$501,"&lt;"&amp;D199)+COUNTIFS($B$2:$B$501,B199,$D$2:$D$501,D199,$A$2:$A$501,"&lt;"&amp;A199)+1)</f>
        <v>0</v>
      </c>
      <c r="D199" s="46"/>
      <c r="E199" s="46"/>
      <c r="F199" s="46"/>
      <c r="G199" s="46"/>
      <c r="H199" s="46"/>
      <c r="I199" s="46"/>
      <c r="J199" s="46"/>
      <c r="K199" s="46"/>
      <c r="L199" s="46"/>
      <c r="M199" s="46" t="str">
        <f aca="false">IF(B199="","",IF(H199&lt;&gt;"Yes","No",IF(C199=SUMPRODUCT(MAX(($B$2:$B$501=B199)*($H$2:$H$501="Yes")*$C$2:$C$501)),"Yes","No")))</f>
        <v/>
      </c>
      <c r="N199" s="46" t="str">
        <f aca="false">IF(B199="","",IF(H199&lt;&gt;"Yes","Not frozen",IF(AND(J199="Yes",K199="Yes",L199="Yes"),"Complete","Incomplete")))</f>
        <v/>
      </c>
      <c r="O199" s="46" t="str">
        <f aca="false">IF(B199="","",IF(OR(F199="Simbli",F199="Shared folder"),"Yes","No"))</f>
        <v/>
      </c>
      <c r="P199" s="46"/>
    </row>
    <row r="200" customFormat="false" ht="15" hidden="false" customHeight="false" outlineLevel="0" collapsed="false">
      <c r="A200" s="46" t="s">
        <v>2526</v>
      </c>
      <c r="B200" s="46"/>
      <c r="C200" s="49" t="n">
        <f aca="false">IF(OR(B200="",D200=""),0,COUNTIFS($B$2:$B$501,B200,$D$2:$D$501,"&lt;"&amp;D200)+COUNTIFS($B$2:$B$501,B200,$D$2:$D$501,D200,$A$2:$A$501,"&lt;"&amp;A200)+1)</f>
        <v>0</v>
      </c>
      <c r="D200" s="46"/>
      <c r="E200" s="46"/>
      <c r="F200" s="46"/>
      <c r="G200" s="46"/>
      <c r="H200" s="46"/>
      <c r="I200" s="46"/>
      <c r="J200" s="46"/>
      <c r="K200" s="46"/>
      <c r="L200" s="46"/>
      <c r="M200" s="46" t="str">
        <f aca="false">IF(B200="","",IF(H200&lt;&gt;"Yes","No",IF(C200=SUMPRODUCT(MAX(($B$2:$B$501=B200)*($H$2:$H$501="Yes")*$C$2:$C$501)),"Yes","No")))</f>
        <v/>
      </c>
      <c r="N200" s="46" t="str">
        <f aca="false">IF(B200="","",IF(H200&lt;&gt;"Yes","Not frozen",IF(AND(J200="Yes",K200="Yes",L200="Yes"),"Complete","Incomplete")))</f>
        <v/>
      </c>
      <c r="O200" s="46" t="str">
        <f aca="false">IF(B200="","",IF(OR(F200="Simbli",F200="Shared folder"),"Yes","No"))</f>
        <v/>
      </c>
      <c r="P200" s="46"/>
    </row>
    <row r="201" customFormat="false" ht="15" hidden="false" customHeight="false" outlineLevel="0" collapsed="false">
      <c r="A201" s="46" t="s">
        <v>2527</v>
      </c>
      <c r="B201" s="46"/>
      <c r="C201" s="49" t="n">
        <f aca="false">IF(OR(B201="",D201=""),0,COUNTIFS($B$2:$B$501,B201,$D$2:$D$501,"&lt;"&amp;D201)+COUNTIFS($B$2:$B$501,B201,$D$2:$D$501,D201,$A$2:$A$501,"&lt;"&amp;A201)+1)</f>
        <v>0</v>
      </c>
      <c r="D201" s="46"/>
      <c r="E201" s="46"/>
      <c r="F201" s="46"/>
      <c r="G201" s="46"/>
      <c r="H201" s="46"/>
      <c r="I201" s="46"/>
      <c r="J201" s="46"/>
      <c r="K201" s="46"/>
      <c r="L201" s="46"/>
      <c r="M201" s="46" t="str">
        <f aca="false">IF(B201="","",IF(H201&lt;&gt;"Yes","No",IF(C201=SUMPRODUCT(MAX(($B$2:$B$501=B201)*($H$2:$H$501="Yes")*$C$2:$C$501)),"Yes","No")))</f>
        <v/>
      </c>
      <c r="N201" s="46" t="str">
        <f aca="false">IF(B201="","",IF(H201&lt;&gt;"Yes","Not frozen",IF(AND(J201="Yes",K201="Yes",L201="Yes"),"Complete","Incomplete")))</f>
        <v/>
      </c>
      <c r="O201" s="46" t="str">
        <f aca="false">IF(B201="","",IF(OR(F201="Simbli",F201="Shared folder"),"Yes","No"))</f>
        <v/>
      </c>
      <c r="P201" s="46"/>
    </row>
    <row r="202" customFormat="false" ht="15" hidden="false" customHeight="false" outlineLevel="0" collapsed="false">
      <c r="A202" s="46" t="s">
        <v>2528</v>
      </c>
      <c r="B202" s="46"/>
      <c r="C202" s="49" t="n">
        <f aca="false">IF(OR(B202="",D202=""),0,COUNTIFS($B$2:$B$501,B202,$D$2:$D$501,"&lt;"&amp;D202)+COUNTIFS($B$2:$B$501,B202,$D$2:$D$501,D202,$A$2:$A$501,"&lt;"&amp;A202)+1)</f>
        <v>0</v>
      </c>
      <c r="D202" s="46"/>
      <c r="E202" s="46"/>
      <c r="F202" s="46"/>
      <c r="G202" s="46"/>
      <c r="H202" s="46"/>
      <c r="I202" s="46"/>
      <c r="J202" s="46"/>
      <c r="K202" s="46"/>
      <c r="L202" s="46"/>
      <c r="M202" s="46" t="str">
        <f aca="false">IF(B202="","",IF(H202&lt;&gt;"Yes","No",IF(C202=SUMPRODUCT(MAX(($B$2:$B$501=B202)*($H$2:$H$501="Yes")*$C$2:$C$501)),"Yes","No")))</f>
        <v/>
      </c>
      <c r="N202" s="46" t="str">
        <f aca="false">IF(B202="","",IF(H202&lt;&gt;"Yes","Not frozen",IF(AND(J202="Yes",K202="Yes",L202="Yes"),"Complete","Incomplete")))</f>
        <v/>
      </c>
      <c r="O202" s="46" t="str">
        <f aca="false">IF(B202="","",IF(OR(F202="Simbli",F202="Shared folder"),"Yes","No"))</f>
        <v/>
      </c>
      <c r="P202" s="46"/>
    </row>
    <row r="203" customFormat="false" ht="15" hidden="false" customHeight="false" outlineLevel="0" collapsed="false">
      <c r="A203" s="46" t="s">
        <v>2529</v>
      </c>
      <c r="B203" s="46"/>
      <c r="C203" s="49" t="n">
        <f aca="false">IF(OR(B203="",D203=""),0,COUNTIFS($B$2:$B$501,B203,$D$2:$D$501,"&lt;"&amp;D203)+COUNTIFS($B$2:$B$501,B203,$D$2:$D$501,D203,$A$2:$A$501,"&lt;"&amp;A203)+1)</f>
        <v>0</v>
      </c>
      <c r="D203" s="46"/>
      <c r="E203" s="46"/>
      <c r="F203" s="46"/>
      <c r="G203" s="46"/>
      <c r="H203" s="46"/>
      <c r="I203" s="46"/>
      <c r="J203" s="46"/>
      <c r="K203" s="46"/>
      <c r="L203" s="46"/>
      <c r="M203" s="46" t="str">
        <f aca="false">IF(B203="","",IF(H203&lt;&gt;"Yes","No",IF(C203=SUMPRODUCT(MAX(($B$2:$B$501=B203)*($H$2:$H$501="Yes")*$C$2:$C$501)),"Yes","No")))</f>
        <v/>
      </c>
      <c r="N203" s="46" t="str">
        <f aca="false">IF(B203="","",IF(H203&lt;&gt;"Yes","Not frozen",IF(AND(J203="Yes",K203="Yes",L203="Yes"),"Complete","Incomplete")))</f>
        <v/>
      </c>
      <c r="O203" s="46" t="str">
        <f aca="false">IF(B203="","",IF(OR(F203="Simbli",F203="Shared folder"),"Yes","No"))</f>
        <v/>
      </c>
      <c r="P203" s="46"/>
    </row>
    <row r="204" customFormat="false" ht="15" hidden="false" customHeight="false" outlineLevel="0" collapsed="false">
      <c r="A204" s="46" t="s">
        <v>2530</v>
      </c>
      <c r="B204" s="46"/>
      <c r="C204" s="49" t="n">
        <f aca="false">IF(OR(B204="",D204=""),0,COUNTIFS($B$2:$B$501,B204,$D$2:$D$501,"&lt;"&amp;D204)+COUNTIFS($B$2:$B$501,B204,$D$2:$D$501,D204,$A$2:$A$501,"&lt;"&amp;A204)+1)</f>
        <v>0</v>
      </c>
      <c r="D204" s="46"/>
      <c r="E204" s="46"/>
      <c r="F204" s="46"/>
      <c r="G204" s="46"/>
      <c r="H204" s="46"/>
      <c r="I204" s="46"/>
      <c r="J204" s="46"/>
      <c r="K204" s="46"/>
      <c r="L204" s="46"/>
      <c r="M204" s="46" t="str">
        <f aca="false">IF(B204="","",IF(H204&lt;&gt;"Yes","No",IF(C204=SUMPRODUCT(MAX(($B$2:$B$501=B204)*($H$2:$H$501="Yes")*$C$2:$C$501)),"Yes","No")))</f>
        <v/>
      </c>
      <c r="N204" s="46" t="str">
        <f aca="false">IF(B204="","",IF(H204&lt;&gt;"Yes","Not frozen",IF(AND(J204="Yes",K204="Yes",L204="Yes"),"Complete","Incomplete")))</f>
        <v/>
      </c>
      <c r="O204" s="46" t="str">
        <f aca="false">IF(B204="","",IF(OR(F204="Simbli",F204="Shared folder"),"Yes","No"))</f>
        <v/>
      </c>
      <c r="P204" s="46"/>
    </row>
    <row r="205" customFormat="false" ht="15" hidden="false" customHeight="false" outlineLevel="0" collapsed="false">
      <c r="A205" s="46" t="s">
        <v>2531</v>
      </c>
      <c r="B205" s="46"/>
      <c r="C205" s="49" t="n">
        <f aca="false">IF(OR(B205="",D205=""),0,COUNTIFS($B$2:$B$501,B205,$D$2:$D$501,"&lt;"&amp;D205)+COUNTIFS($B$2:$B$501,B205,$D$2:$D$501,D205,$A$2:$A$501,"&lt;"&amp;A205)+1)</f>
        <v>0</v>
      </c>
      <c r="D205" s="46"/>
      <c r="E205" s="46"/>
      <c r="F205" s="46"/>
      <c r="G205" s="46"/>
      <c r="H205" s="46"/>
      <c r="I205" s="46"/>
      <c r="J205" s="46"/>
      <c r="K205" s="46"/>
      <c r="L205" s="46"/>
      <c r="M205" s="46" t="str">
        <f aca="false">IF(B205="","",IF(H205&lt;&gt;"Yes","No",IF(C205=SUMPRODUCT(MAX(($B$2:$B$501=B205)*($H$2:$H$501="Yes")*$C$2:$C$501)),"Yes","No")))</f>
        <v/>
      </c>
      <c r="N205" s="46" t="str">
        <f aca="false">IF(B205="","",IF(H205&lt;&gt;"Yes","Not frozen",IF(AND(J205="Yes",K205="Yes",L205="Yes"),"Complete","Incomplete")))</f>
        <v/>
      </c>
      <c r="O205" s="46" t="str">
        <f aca="false">IF(B205="","",IF(OR(F205="Simbli",F205="Shared folder"),"Yes","No"))</f>
        <v/>
      </c>
      <c r="P205" s="46"/>
    </row>
    <row r="206" customFormat="false" ht="15" hidden="false" customHeight="false" outlineLevel="0" collapsed="false">
      <c r="A206" s="46" t="s">
        <v>2532</v>
      </c>
      <c r="B206" s="46"/>
      <c r="C206" s="49" t="n">
        <f aca="false">IF(OR(B206="",D206=""),0,COUNTIFS($B$2:$B$501,B206,$D$2:$D$501,"&lt;"&amp;D206)+COUNTIFS($B$2:$B$501,B206,$D$2:$D$501,D206,$A$2:$A$501,"&lt;"&amp;A206)+1)</f>
        <v>0</v>
      </c>
      <c r="D206" s="46"/>
      <c r="E206" s="46"/>
      <c r="F206" s="46"/>
      <c r="G206" s="46"/>
      <c r="H206" s="46"/>
      <c r="I206" s="46"/>
      <c r="J206" s="46"/>
      <c r="K206" s="46"/>
      <c r="L206" s="46"/>
      <c r="M206" s="46" t="str">
        <f aca="false">IF(B206="","",IF(H206&lt;&gt;"Yes","No",IF(C206=SUMPRODUCT(MAX(($B$2:$B$501=B206)*($H$2:$H$501="Yes")*$C$2:$C$501)),"Yes","No")))</f>
        <v/>
      </c>
      <c r="N206" s="46" t="str">
        <f aca="false">IF(B206="","",IF(H206&lt;&gt;"Yes","Not frozen",IF(AND(J206="Yes",K206="Yes",L206="Yes"),"Complete","Incomplete")))</f>
        <v/>
      </c>
      <c r="O206" s="46" t="str">
        <f aca="false">IF(B206="","",IF(OR(F206="Simbli",F206="Shared folder"),"Yes","No"))</f>
        <v/>
      </c>
      <c r="P206" s="46"/>
    </row>
    <row r="207" customFormat="false" ht="15" hidden="false" customHeight="false" outlineLevel="0" collapsed="false">
      <c r="A207" s="46" t="s">
        <v>2533</v>
      </c>
      <c r="B207" s="46"/>
      <c r="C207" s="49" t="n">
        <f aca="false">IF(OR(B207="",D207=""),0,COUNTIFS($B$2:$B$501,B207,$D$2:$D$501,"&lt;"&amp;D207)+COUNTIFS($B$2:$B$501,B207,$D$2:$D$501,D207,$A$2:$A$501,"&lt;"&amp;A207)+1)</f>
        <v>0</v>
      </c>
      <c r="D207" s="46"/>
      <c r="E207" s="46"/>
      <c r="F207" s="46"/>
      <c r="G207" s="46"/>
      <c r="H207" s="46"/>
      <c r="I207" s="46"/>
      <c r="J207" s="46"/>
      <c r="K207" s="46"/>
      <c r="L207" s="46"/>
      <c r="M207" s="46" t="str">
        <f aca="false">IF(B207="","",IF(H207&lt;&gt;"Yes","No",IF(C207=SUMPRODUCT(MAX(($B$2:$B$501=B207)*($H$2:$H$501="Yes")*$C$2:$C$501)),"Yes","No")))</f>
        <v/>
      </c>
      <c r="N207" s="46" t="str">
        <f aca="false">IF(B207="","",IF(H207&lt;&gt;"Yes","Not frozen",IF(AND(J207="Yes",K207="Yes",L207="Yes"),"Complete","Incomplete")))</f>
        <v/>
      </c>
      <c r="O207" s="46" t="str">
        <f aca="false">IF(B207="","",IF(OR(F207="Simbli",F207="Shared folder"),"Yes","No"))</f>
        <v/>
      </c>
      <c r="P207" s="46"/>
    </row>
    <row r="208" customFormat="false" ht="15" hidden="false" customHeight="false" outlineLevel="0" collapsed="false">
      <c r="A208" s="46" t="s">
        <v>2534</v>
      </c>
      <c r="B208" s="46"/>
      <c r="C208" s="49" t="n">
        <f aca="false">IF(OR(B208="",D208=""),0,COUNTIFS($B$2:$B$501,B208,$D$2:$D$501,"&lt;"&amp;D208)+COUNTIFS($B$2:$B$501,B208,$D$2:$D$501,D208,$A$2:$A$501,"&lt;"&amp;A208)+1)</f>
        <v>0</v>
      </c>
      <c r="D208" s="46"/>
      <c r="E208" s="46"/>
      <c r="F208" s="46"/>
      <c r="G208" s="46"/>
      <c r="H208" s="46"/>
      <c r="I208" s="46"/>
      <c r="J208" s="46"/>
      <c r="K208" s="46"/>
      <c r="L208" s="46"/>
      <c r="M208" s="46" t="str">
        <f aca="false">IF(B208="","",IF(H208&lt;&gt;"Yes","No",IF(C208=SUMPRODUCT(MAX(($B$2:$B$501=B208)*($H$2:$H$501="Yes")*$C$2:$C$501)),"Yes","No")))</f>
        <v/>
      </c>
      <c r="N208" s="46" t="str">
        <f aca="false">IF(B208="","",IF(H208&lt;&gt;"Yes","Not frozen",IF(AND(J208="Yes",K208="Yes",L208="Yes"),"Complete","Incomplete")))</f>
        <v/>
      </c>
      <c r="O208" s="46" t="str">
        <f aca="false">IF(B208="","",IF(OR(F208="Simbli",F208="Shared folder"),"Yes","No"))</f>
        <v/>
      </c>
      <c r="P208" s="46"/>
    </row>
    <row r="209" customFormat="false" ht="15" hidden="false" customHeight="false" outlineLevel="0" collapsed="false">
      <c r="A209" s="46" t="s">
        <v>2535</v>
      </c>
      <c r="B209" s="46"/>
      <c r="C209" s="49" t="n">
        <f aca="false">IF(OR(B209="",D209=""),0,COUNTIFS($B$2:$B$501,B209,$D$2:$D$501,"&lt;"&amp;D209)+COUNTIFS($B$2:$B$501,B209,$D$2:$D$501,D209,$A$2:$A$501,"&lt;"&amp;A209)+1)</f>
        <v>0</v>
      </c>
      <c r="D209" s="46"/>
      <c r="E209" s="46"/>
      <c r="F209" s="46"/>
      <c r="G209" s="46"/>
      <c r="H209" s="46"/>
      <c r="I209" s="46"/>
      <c r="J209" s="46"/>
      <c r="K209" s="46"/>
      <c r="L209" s="46"/>
      <c r="M209" s="46" t="str">
        <f aca="false">IF(B209="","",IF(H209&lt;&gt;"Yes","No",IF(C209=SUMPRODUCT(MAX(($B$2:$B$501=B209)*($H$2:$H$501="Yes")*$C$2:$C$501)),"Yes","No")))</f>
        <v/>
      </c>
      <c r="N209" s="46" t="str">
        <f aca="false">IF(B209="","",IF(H209&lt;&gt;"Yes","Not frozen",IF(AND(J209="Yes",K209="Yes",L209="Yes"),"Complete","Incomplete")))</f>
        <v/>
      </c>
      <c r="O209" s="46" t="str">
        <f aca="false">IF(B209="","",IF(OR(F209="Simbli",F209="Shared folder"),"Yes","No"))</f>
        <v/>
      </c>
      <c r="P209" s="46"/>
    </row>
    <row r="210" customFormat="false" ht="15" hidden="false" customHeight="false" outlineLevel="0" collapsed="false">
      <c r="A210" s="46" t="s">
        <v>2536</v>
      </c>
      <c r="B210" s="46"/>
      <c r="C210" s="49" t="n">
        <f aca="false">IF(OR(B210="",D210=""),0,COUNTIFS($B$2:$B$501,B210,$D$2:$D$501,"&lt;"&amp;D210)+COUNTIFS($B$2:$B$501,B210,$D$2:$D$501,D210,$A$2:$A$501,"&lt;"&amp;A210)+1)</f>
        <v>0</v>
      </c>
      <c r="D210" s="46"/>
      <c r="E210" s="46"/>
      <c r="F210" s="46"/>
      <c r="G210" s="46"/>
      <c r="H210" s="46"/>
      <c r="I210" s="46"/>
      <c r="J210" s="46"/>
      <c r="K210" s="46"/>
      <c r="L210" s="46"/>
      <c r="M210" s="46" t="str">
        <f aca="false">IF(B210="","",IF(H210&lt;&gt;"Yes","No",IF(C210=SUMPRODUCT(MAX(($B$2:$B$501=B210)*($H$2:$H$501="Yes")*$C$2:$C$501)),"Yes","No")))</f>
        <v/>
      </c>
      <c r="N210" s="46" t="str">
        <f aca="false">IF(B210="","",IF(H210&lt;&gt;"Yes","Not frozen",IF(AND(J210="Yes",K210="Yes",L210="Yes"),"Complete","Incomplete")))</f>
        <v/>
      </c>
      <c r="O210" s="46" t="str">
        <f aca="false">IF(B210="","",IF(OR(F210="Simbli",F210="Shared folder"),"Yes","No"))</f>
        <v/>
      </c>
      <c r="P210" s="46"/>
    </row>
    <row r="211" customFormat="false" ht="15" hidden="false" customHeight="false" outlineLevel="0" collapsed="false">
      <c r="A211" s="46" t="s">
        <v>2537</v>
      </c>
      <c r="B211" s="46"/>
      <c r="C211" s="49" t="n">
        <f aca="false">IF(OR(B211="",D211=""),0,COUNTIFS($B$2:$B$501,B211,$D$2:$D$501,"&lt;"&amp;D211)+COUNTIFS($B$2:$B$501,B211,$D$2:$D$501,D211,$A$2:$A$501,"&lt;"&amp;A211)+1)</f>
        <v>0</v>
      </c>
      <c r="D211" s="46"/>
      <c r="E211" s="46"/>
      <c r="F211" s="46"/>
      <c r="G211" s="46"/>
      <c r="H211" s="46"/>
      <c r="I211" s="46"/>
      <c r="J211" s="46"/>
      <c r="K211" s="46"/>
      <c r="L211" s="46"/>
      <c r="M211" s="46" t="str">
        <f aca="false">IF(B211="","",IF(H211&lt;&gt;"Yes","No",IF(C211=SUMPRODUCT(MAX(($B$2:$B$501=B211)*($H$2:$H$501="Yes")*$C$2:$C$501)),"Yes","No")))</f>
        <v/>
      </c>
      <c r="N211" s="46" t="str">
        <f aca="false">IF(B211="","",IF(H211&lt;&gt;"Yes","Not frozen",IF(AND(J211="Yes",K211="Yes",L211="Yes"),"Complete","Incomplete")))</f>
        <v/>
      </c>
      <c r="O211" s="46" t="str">
        <f aca="false">IF(B211="","",IF(OR(F211="Simbli",F211="Shared folder"),"Yes","No"))</f>
        <v/>
      </c>
      <c r="P211" s="46"/>
    </row>
    <row r="212" customFormat="false" ht="15" hidden="false" customHeight="false" outlineLevel="0" collapsed="false">
      <c r="A212" s="46" t="s">
        <v>2538</v>
      </c>
      <c r="B212" s="46"/>
      <c r="C212" s="49" t="n">
        <f aca="false">IF(OR(B212="",D212=""),0,COUNTIFS($B$2:$B$501,B212,$D$2:$D$501,"&lt;"&amp;D212)+COUNTIFS($B$2:$B$501,B212,$D$2:$D$501,D212,$A$2:$A$501,"&lt;"&amp;A212)+1)</f>
        <v>0</v>
      </c>
      <c r="D212" s="46"/>
      <c r="E212" s="46"/>
      <c r="F212" s="46"/>
      <c r="G212" s="46"/>
      <c r="H212" s="46"/>
      <c r="I212" s="46"/>
      <c r="J212" s="46"/>
      <c r="K212" s="46"/>
      <c r="L212" s="46"/>
      <c r="M212" s="46" t="str">
        <f aca="false">IF(B212="","",IF(H212&lt;&gt;"Yes","No",IF(C212=SUMPRODUCT(MAX(($B$2:$B$501=B212)*($H$2:$H$501="Yes")*$C$2:$C$501)),"Yes","No")))</f>
        <v/>
      </c>
      <c r="N212" s="46" t="str">
        <f aca="false">IF(B212="","",IF(H212&lt;&gt;"Yes","Not frozen",IF(AND(J212="Yes",K212="Yes",L212="Yes"),"Complete","Incomplete")))</f>
        <v/>
      </c>
      <c r="O212" s="46" t="str">
        <f aca="false">IF(B212="","",IF(OR(F212="Simbli",F212="Shared folder"),"Yes","No"))</f>
        <v/>
      </c>
      <c r="P212" s="46"/>
    </row>
    <row r="213" customFormat="false" ht="15" hidden="false" customHeight="false" outlineLevel="0" collapsed="false">
      <c r="A213" s="46" t="s">
        <v>2539</v>
      </c>
      <c r="B213" s="46"/>
      <c r="C213" s="49" t="n">
        <f aca="false">IF(OR(B213="",D213=""),0,COUNTIFS($B$2:$B$501,B213,$D$2:$D$501,"&lt;"&amp;D213)+COUNTIFS($B$2:$B$501,B213,$D$2:$D$501,D213,$A$2:$A$501,"&lt;"&amp;A213)+1)</f>
        <v>0</v>
      </c>
      <c r="D213" s="46"/>
      <c r="E213" s="46"/>
      <c r="F213" s="46"/>
      <c r="G213" s="46"/>
      <c r="H213" s="46"/>
      <c r="I213" s="46"/>
      <c r="J213" s="46"/>
      <c r="K213" s="46"/>
      <c r="L213" s="46"/>
      <c r="M213" s="46" t="str">
        <f aca="false">IF(B213="","",IF(H213&lt;&gt;"Yes","No",IF(C213=SUMPRODUCT(MAX(($B$2:$B$501=B213)*($H$2:$H$501="Yes")*$C$2:$C$501)),"Yes","No")))</f>
        <v/>
      </c>
      <c r="N213" s="46" t="str">
        <f aca="false">IF(B213="","",IF(H213&lt;&gt;"Yes","Not frozen",IF(AND(J213="Yes",K213="Yes",L213="Yes"),"Complete","Incomplete")))</f>
        <v/>
      </c>
      <c r="O213" s="46" t="str">
        <f aca="false">IF(B213="","",IF(OR(F213="Simbli",F213="Shared folder"),"Yes","No"))</f>
        <v/>
      </c>
      <c r="P213" s="46"/>
    </row>
    <row r="214" customFormat="false" ht="15" hidden="false" customHeight="false" outlineLevel="0" collapsed="false">
      <c r="A214" s="46" t="s">
        <v>2540</v>
      </c>
      <c r="B214" s="46"/>
      <c r="C214" s="49" t="n">
        <f aca="false">IF(OR(B214="",D214=""),0,COUNTIFS($B$2:$B$501,B214,$D$2:$D$501,"&lt;"&amp;D214)+COUNTIFS($B$2:$B$501,B214,$D$2:$D$501,D214,$A$2:$A$501,"&lt;"&amp;A214)+1)</f>
        <v>0</v>
      </c>
      <c r="D214" s="46"/>
      <c r="E214" s="46"/>
      <c r="F214" s="46"/>
      <c r="G214" s="46"/>
      <c r="H214" s="46"/>
      <c r="I214" s="46"/>
      <c r="J214" s="46"/>
      <c r="K214" s="46"/>
      <c r="L214" s="46"/>
      <c r="M214" s="46" t="str">
        <f aca="false">IF(B214="","",IF(H214&lt;&gt;"Yes","No",IF(C214=SUMPRODUCT(MAX(($B$2:$B$501=B214)*($H$2:$H$501="Yes")*$C$2:$C$501)),"Yes","No")))</f>
        <v/>
      </c>
      <c r="N214" s="46" t="str">
        <f aca="false">IF(B214="","",IF(H214&lt;&gt;"Yes","Not frozen",IF(AND(J214="Yes",K214="Yes",L214="Yes"),"Complete","Incomplete")))</f>
        <v/>
      </c>
      <c r="O214" s="46" t="str">
        <f aca="false">IF(B214="","",IF(OR(F214="Simbli",F214="Shared folder"),"Yes","No"))</f>
        <v/>
      </c>
      <c r="P214" s="46"/>
    </row>
    <row r="215" customFormat="false" ht="15" hidden="false" customHeight="false" outlineLevel="0" collapsed="false">
      <c r="A215" s="46" t="s">
        <v>2541</v>
      </c>
      <c r="B215" s="46"/>
      <c r="C215" s="49" t="n">
        <f aca="false">IF(OR(B215="",D215=""),0,COUNTIFS($B$2:$B$501,B215,$D$2:$D$501,"&lt;"&amp;D215)+COUNTIFS($B$2:$B$501,B215,$D$2:$D$501,D215,$A$2:$A$501,"&lt;"&amp;A215)+1)</f>
        <v>0</v>
      </c>
      <c r="D215" s="46"/>
      <c r="E215" s="46"/>
      <c r="F215" s="46"/>
      <c r="G215" s="46"/>
      <c r="H215" s="46"/>
      <c r="I215" s="46"/>
      <c r="J215" s="46"/>
      <c r="K215" s="46"/>
      <c r="L215" s="46"/>
      <c r="M215" s="46" t="str">
        <f aca="false">IF(B215="","",IF(H215&lt;&gt;"Yes","No",IF(C215=SUMPRODUCT(MAX(($B$2:$B$501=B215)*($H$2:$H$501="Yes")*$C$2:$C$501)),"Yes","No")))</f>
        <v/>
      </c>
      <c r="N215" s="46" t="str">
        <f aca="false">IF(B215="","",IF(H215&lt;&gt;"Yes","Not frozen",IF(AND(J215="Yes",K215="Yes",L215="Yes"),"Complete","Incomplete")))</f>
        <v/>
      </c>
      <c r="O215" s="46" t="str">
        <f aca="false">IF(B215="","",IF(OR(F215="Simbli",F215="Shared folder"),"Yes","No"))</f>
        <v/>
      </c>
      <c r="P215" s="46"/>
    </row>
    <row r="216" customFormat="false" ht="15" hidden="false" customHeight="false" outlineLevel="0" collapsed="false">
      <c r="A216" s="46" t="s">
        <v>2542</v>
      </c>
      <c r="B216" s="46"/>
      <c r="C216" s="49" t="n">
        <f aca="false">IF(OR(B216="",D216=""),0,COUNTIFS($B$2:$B$501,B216,$D$2:$D$501,"&lt;"&amp;D216)+COUNTIFS($B$2:$B$501,B216,$D$2:$D$501,D216,$A$2:$A$501,"&lt;"&amp;A216)+1)</f>
        <v>0</v>
      </c>
      <c r="D216" s="46"/>
      <c r="E216" s="46"/>
      <c r="F216" s="46"/>
      <c r="G216" s="46"/>
      <c r="H216" s="46"/>
      <c r="I216" s="46"/>
      <c r="J216" s="46"/>
      <c r="K216" s="46"/>
      <c r="L216" s="46"/>
      <c r="M216" s="46" t="str">
        <f aca="false">IF(B216="","",IF(H216&lt;&gt;"Yes","No",IF(C216=SUMPRODUCT(MAX(($B$2:$B$501=B216)*($H$2:$H$501="Yes")*$C$2:$C$501)),"Yes","No")))</f>
        <v/>
      </c>
      <c r="N216" s="46" t="str">
        <f aca="false">IF(B216="","",IF(H216&lt;&gt;"Yes","Not frozen",IF(AND(J216="Yes",K216="Yes",L216="Yes"),"Complete","Incomplete")))</f>
        <v/>
      </c>
      <c r="O216" s="46" t="str">
        <f aca="false">IF(B216="","",IF(OR(F216="Simbli",F216="Shared folder"),"Yes","No"))</f>
        <v/>
      </c>
      <c r="P216" s="46"/>
    </row>
    <row r="217" customFormat="false" ht="15" hidden="false" customHeight="false" outlineLevel="0" collapsed="false">
      <c r="A217" s="46" t="s">
        <v>2543</v>
      </c>
      <c r="B217" s="46"/>
      <c r="C217" s="49" t="n">
        <f aca="false">IF(OR(B217="",D217=""),0,COUNTIFS($B$2:$B$501,B217,$D$2:$D$501,"&lt;"&amp;D217)+COUNTIFS($B$2:$B$501,B217,$D$2:$D$501,D217,$A$2:$A$501,"&lt;"&amp;A217)+1)</f>
        <v>0</v>
      </c>
      <c r="D217" s="46"/>
      <c r="E217" s="46"/>
      <c r="F217" s="46"/>
      <c r="G217" s="46"/>
      <c r="H217" s="46"/>
      <c r="I217" s="46"/>
      <c r="J217" s="46"/>
      <c r="K217" s="46"/>
      <c r="L217" s="46"/>
      <c r="M217" s="46" t="str">
        <f aca="false">IF(B217="","",IF(H217&lt;&gt;"Yes","No",IF(C217=SUMPRODUCT(MAX(($B$2:$B$501=B217)*($H$2:$H$501="Yes")*$C$2:$C$501)),"Yes","No")))</f>
        <v/>
      </c>
      <c r="N217" s="46" t="str">
        <f aca="false">IF(B217="","",IF(H217&lt;&gt;"Yes","Not frozen",IF(AND(J217="Yes",K217="Yes",L217="Yes"),"Complete","Incomplete")))</f>
        <v/>
      </c>
      <c r="O217" s="46" t="str">
        <f aca="false">IF(B217="","",IF(OR(F217="Simbli",F217="Shared folder"),"Yes","No"))</f>
        <v/>
      </c>
      <c r="P217" s="46"/>
    </row>
    <row r="218" customFormat="false" ht="15" hidden="false" customHeight="false" outlineLevel="0" collapsed="false">
      <c r="A218" s="46" t="s">
        <v>2544</v>
      </c>
      <c r="B218" s="46"/>
      <c r="C218" s="49" t="n">
        <f aca="false">IF(OR(B218="",D218=""),0,COUNTIFS($B$2:$B$501,B218,$D$2:$D$501,"&lt;"&amp;D218)+COUNTIFS($B$2:$B$501,B218,$D$2:$D$501,D218,$A$2:$A$501,"&lt;"&amp;A218)+1)</f>
        <v>0</v>
      </c>
      <c r="D218" s="46"/>
      <c r="E218" s="46"/>
      <c r="F218" s="46"/>
      <c r="G218" s="46"/>
      <c r="H218" s="46"/>
      <c r="I218" s="46"/>
      <c r="J218" s="46"/>
      <c r="K218" s="46"/>
      <c r="L218" s="46"/>
      <c r="M218" s="46" t="str">
        <f aca="false">IF(B218="","",IF(H218&lt;&gt;"Yes","No",IF(C218=SUMPRODUCT(MAX(($B$2:$B$501=B218)*($H$2:$H$501="Yes")*$C$2:$C$501)),"Yes","No")))</f>
        <v/>
      </c>
      <c r="N218" s="46" t="str">
        <f aca="false">IF(B218="","",IF(H218&lt;&gt;"Yes","Not frozen",IF(AND(J218="Yes",K218="Yes",L218="Yes"),"Complete","Incomplete")))</f>
        <v/>
      </c>
      <c r="O218" s="46" t="str">
        <f aca="false">IF(B218="","",IF(OR(F218="Simbli",F218="Shared folder"),"Yes","No"))</f>
        <v/>
      </c>
      <c r="P218" s="46"/>
    </row>
    <row r="219" customFormat="false" ht="15" hidden="false" customHeight="false" outlineLevel="0" collapsed="false">
      <c r="A219" s="46" t="s">
        <v>2545</v>
      </c>
      <c r="B219" s="46"/>
      <c r="C219" s="49" t="n">
        <f aca="false">IF(OR(B219="",D219=""),0,COUNTIFS($B$2:$B$501,B219,$D$2:$D$501,"&lt;"&amp;D219)+COUNTIFS($B$2:$B$501,B219,$D$2:$D$501,D219,$A$2:$A$501,"&lt;"&amp;A219)+1)</f>
        <v>0</v>
      </c>
      <c r="D219" s="46"/>
      <c r="E219" s="46"/>
      <c r="F219" s="46"/>
      <c r="G219" s="46"/>
      <c r="H219" s="46"/>
      <c r="I219" s="46"/>
      <c r="J219" s="46"/>
      <c r="K219" s="46"/>
      <c r="L219" s="46"/>
      <c r="M219" s="46" t="str">
        <f aca="false">IF(B219="","",IF(H219&lt;&gt;"Yes","No",IF(C219=SUMPRODUCT(MAX(($B$2:$B$501=B219)*($H$2:$H$501="Yes")*$C$2:$C$501)),"Yes","No")))</f>
        <v/>
      </c>
      <c r="N219" s="46" t="str">
        <f aca="false">IF(B219="","",IF(H219&lt;&gt;"Yes","Not frozen",IF(AND(J219="Yes",K219="Yes",L219="Yes"),"Complete","Incomplete")))</f>
        <v/>
      </c>
      <c r="O219" s="46" t="str">
        <f aca="false">IF(B219="","",IF(OR(F219="Simbli",F219="Shared folder"),"Yes","No"))</f>
        <v/>
      </c>
      <c r="P219" s="46"/>
    </row>
    <row r="220" customFormat="false" ht="15" hidden="false" customHeight="false" outlineLevel="0" collapsed="false">
      <c r="A220" s="46" t="s">
        <v>2546</v>
      </c>
      <c r="B220" s="46"/>
      <c r="C220" s="49" t="n">
        <f aca="false">IF(OR(B220="",D220=""),0,COUNTIFS($B$2:$B$501,B220,$D$2:$D$501,"&lt;"&amp;D220)+COUNTIFS($B$2:$B$501,B220,$D$2:$D$501,D220,$A$2:$A$501,"&lt;"&amp;A220)+1)</f>
        <v>0</v>
      </c>
      <c r="D220" s="46"/>
      <c r="E220" s="46"/>
      <c r="F220" s="46"/>
      <c r="G220" s="46"/>
      <c r="H220" s="46"/>
      <c r="I220" s="46"/>
      <c r="J220" s="46"/>
      <c r="K220" s="46"/>
      <c r="L220" s="46"/>
      <c r="M220" s="46" t="str">
        <f aca="false">IF(B220="","",IF(H220&lt;&gt;"Yes","No",IF(C220=SUMPRODUCT(MAX(($B$2:$B$501=B220)*($H$2:$H$501="Yes")*$C$2:$C$501)),"Yes","No")))</f>
        <v/>
      </c>
      <c r="N220" s="46" t="str">
        <f aca="false">IF(B220="","",IF(H220&lt;&gt;"Yes","Not frozen",IF(AND(J220="Yes",K220="Yes",L220="Yes"),"Complete","Incomplete")))</f>
        <v/>
      </c>
      <c r="O220" s="46" t="str">
        <f aca="false">IF(B220="","",IF(OR(F220="Simbli",F220="Shared folder"),"Yes","No"))</f>
        <v/>
      </c>
      <c r="P220" s="46"/>
    </row>
    <row r="221" customFormat="false" ht="15" hidden="false" customHeight="false" outlineLevel="0" collapsed="false">
      <c r="A221" s="46" t="s">
        <v>2547</v>
      </c>
      <c r="B221" s="46"/>
      <c r="C221" s="49" t="n">
        <f aca="false">IF(OR(B221="",D221=""),0,COUNTIFS($B$2:$B$501,B221,$D$2:$D$501,"&lt;"&amp;D221)+COUNTIFS($B$2:$B$501,B221,$D$2:$D$501,D221,$A$2:$A$501,"&lt;"&amp;A221)+1)</f>
        <v>0</v>
      </c>
      <c r="D221" s="46"/>
      <c r="E221" s="46"/>
      <c r="F221" s="46"/>
      <c r="G221" s="46"/>
      <c r="H221" s="46"/>
      <c r="I221" s="46"/>
      <c r="J221" s="46"/>
      <c r="K221" s="46"/>
      <c r="L221" s="46"/>
      <c r="M221" s="46" t="str">
        <f aca="false">IF(B221="","",IF(H221&lt;&gt;"Yes","No",IF(C221=SUMPRODUCT(MAX(($B$2:$B$501=B221)*($H$2:$H$501="Yes")*$C$2:$C$501)),"Yes","No")))</f>
        <v/>
      </c>
      <c r="N221" s="46" t="str">
        <f aca="false">IF(B221="","",IF(H221&lt;&gt;"Yes","Not frozen",IF(AND(J221="Yes",K221="Yes",L221="Yes"),"Complete","Incomplete")))</f>
        <v/>
      </c>
      <c r="O221" s="46" t="str">
        <f aca="false">IF(B221="","",IF(OR(F221="Simbli",F221="Shared folder"),"Yes","No"))</f>
        <v/>
      </c>
      <c r="P221" s="46"/>
    </row>
    <row r="222" customFormat="false" ht="15" hidden="false" customHeight="false" outlineLevel="0" collapsed="false">
      <c r="A222" s="46" t="s">
        <v>2548</v>
      </c>
      <c r="B222" s="46"/>
      <c r="C222" s="49" t="n">
        <f aca="false">IF(OR(B222="",D222=""),0,COUNTIFS($B$2:$B$501,B222,$D$2:$D$501,"&lt;"&amp;D222)+COUNTIFS($B$2:$B$501,B222,$D$2:$D$501,D222,$A$2:$A$501,"&lt;"&amp;A222)+1)</f>
        <v>0</v>
      </c>
      <c r="D222" s="46"/>
      <c r="E222" s="46"/>
      <c r="F222" s="46"/>
      <c r="G222" s="46"/>
      <c r="H222" s="46"/>
      <c r="I222" s="46"/>
      <c r="J222" s="46"/>
      <c r="K222" s="46"/>
      <c r="L222" s="46"/>
      <c r="M222" s="46" t="str">
        <f aca="false">IF(B222="","",IF(H222&lt;&gt;"Yes","No",IF(C222=SUMPRODUCT(MAX(($B$2:$B$501=B222)*($H$2:$H$501="Yes")*$C$2:$C$501)),"Yes","No")))</f>
        <v/>
      </c>
      <c r="N222" s="46" t="str">
        <f aca="false">IF(B222="","",IF(H222&lt;&gt;"Yes","Not frozen",IF(AND(J222="Yes",K222="Yes",L222="Yes"),"Complete","Incomplete")))</f>
        <v/>
      </c>
      <c r="O222" s="46" t="str">
        <f aca="false">IF(B222="","",IF(OR(F222="Simbli",F222="Shared folder"),"Yes","No"))</f>
        <v/>
      </c>
      <c r="P222" s="46"/>
    </row>
    <row r="223" customFormat="false" ht="15" hidden="false" customHeight="false" outlineLevel="0" collapsed="false">
      <c r="A223" s="46" t="s">
        <v>2549</v>
      </c>
      <c r="B223" s="46"/>
      <c r="C223" s="49" t="n">
        <f aca="false">IF(OR(B223="",D223=""),0,COUNTIFS($B$2:$B$501,B223,$D$2:$D$501,"&lt;"&amp;D223)+COUNTIFS($B$2:$B$501,B223,$D$2:$D$501,D223,$A$2:$A$501,"&lt;"&amp;A223)+1)</f>
        <v>0</v>
      </c>
      <c r="D223" s="46"/>
      <c r="E223" s="46"/>
      <c r="F223" s="46"/>
      <c r="G223" s="46"/>
      <c r="H223" s="46"/>
      <c r="I223" s="46"/>
      <c r="J223" s="46"/>
      <c r="K223" s="46"/>
      <c r="L223" s="46"/>
      <c r="M223" s="46" t="str">
        <f aca="false">IF(B223="","",IF(H223&lt;&gt;"Yes","No",IF(C223=SUMPRODUCT(MAX(($B$2:$B$501=B223)*($H$2:$H$501="Yes")*$C$2:$C$501)),"Yes","No")))</f>
        <v/>
      </c>
      <c r="N223" s="46" t="str">
        <f aca="false">IF(B223="","",IF(H223&lt;&gt;"Yes","Not frozen",IF(AND(J223="Yes",K223="Yes",L223="Yes"),"Complete","Incomplete")))</f>
        <v/>
      </c>
      <c r="O223" s="46" t="str">
        <f aca="false">IF(B223="","",IF(OR(F223="Simbli",F223="Shared folder"),"Yes","No"))</f>
        <v/>
      </c>
      <c r="P223" s="46"/>
    </row>
    <row r="224" customFormat="false" ht="15" hidden="false" customHeight="false" outlineLevel="0" collapsed="false">
      <c r="A224" s="46" t="s">
        <v>2550</v>
      </c>
      <c r="B224" s="46"/>
      <c r="C224" s="49" t="n">
        <f aca="false">IF(OR(B224="",D224=""),0,COUNTIFS($B$2:$B$501,B224,$D$2:$D$501,"&lt;"&amp;D224)+COUNTIFS($B$2:$B$501,B224,$D$2:$D$501,D224,$A$2:$A$501,"&lt;"&amp;A224)+1)</f>
        <v>0</v>
      </c>
      <c r="D224" s="46"/>
      <c r="E224" s="46"/>
      <c r="F224" s="46"/>
      <c r="G224" s="46"/>
      <c r="H224" s="46"/>
      <c r="I224" s="46"/>
      <c r="J224" s="46"/>
      <c r="K224" s="46"/>
      <c r="L224" s="46"/>
      <c r="M224" s="46" t="str">
        <f aca="false">IF(B224="","",IF(H224&lt;&gt;"Yes","No",IF(C224=SUMPRODUCT(MAX(($B$2:$B$501=B224)*($H$2:$H$501="Yes")*$C$2:$C$501)),"Yes","No")))</f>
        <v/>
      </c>
      <c r="N224" s="46" t="str">
        <f aca="false">IF(B224="","",IF(H224&lt;&gt;"Yes","Not frozen",IF(AND(J224="Yes",K224="Yes",L224="Yes"),"Complete","Incomplete")))</f>
        <v/>
      </c>
      <c r="O224" s="46" t="str">
        <f aca="false">IF(B224="","",IF(OR(F224="Simbli",F224="Shared folder"),"Yes","No"))</f>
        <v/>
      </c>
      <c r="P224" s="46"/>
    </row>
    <row r="225" customFormat="false" ht="15" hidden="false" customHeight="false" outlineLevel="0" collapsed="false">
      <c r="A225" s="46" t="s">
        <v>2551</v>
      </c>
      <c r="B225" s="46"/>
      <c r="C225" s="49" t="n">
        <f aca="false">IF(OR(B225="",D225=""),0,COUNTIFS($B$2:$B$501,B225,$D$2:$D$501,"&lt;"&amp;D225)+COUNTIFS($B$2:$B$501,B225,$D$2:$D$501,D225,$A$2:$A$501,"&lt;"&amp;A225)+1)</f>
        <v>0</v>
      </c>
      <c r="D225" s="46"/>
      <c r="E225" s="46"/>
      <c r="F225" s="46"/>
      <c r="G225" s="46"/>
      <c r="H225" s="46"/>
      <c r="I225" s="46"/>
      <c r="J225" s="46"/>
      <c r="K225" s="46"/>
      <c r="L225" s="46"/>
      <c r="M225" s="46" t="str">
        <f aca="false">IF(B225="","",IF(H225&lt;&gt;"Yes","No",IF(C225=SUMPRODUCT(MAX(($B$2:$B$501=B225)*($H$2:$H$501="Yes")*$C$2:$C$501)),"Yes","No")))</f>
        <v/>
      </c>
      <c r="N225" s="46" t="str">
        <f aca="false">IF(B225="","",IF(H225&lt;&gt;"Yes","Not frozen",IF(AND(J225="Yes",K225="Yes",L225="Yes"),"Complete","Incomplete")))</f>
        <v/>
      </c>
      <c r="O225" s="46" t="str">
        <f aca="false">IF(B225="","",IF(OR(F225="Simbli",F225="Shared folder"),"Yes","No"))</f>
        <v/>
      </c>
      <c r="P225" s="46"/>
    </row>
    <row r="226" customFormat="false" ht="15" hidden="false" customHeight="false" outlineLevel="0" collapsed="false">
      <c r="A226" s="46" t="s">
        <v>2552</v>
      </c>
      <c r="B226" s="46"/>
      <c r="C226" s="49" t="n">
        <f aca="false">IF(OR(B226="",D226=""),0,COUNTIFS($B$2:$B$501,B226,$D$2:$D$501,"&lt;"&amp;D226)+COUNTIFS($B$2:$B$501,B226,$D$2:$D$501,D226,$A$2:$A$501,"&lt;"&amp;A226)+1)</f>
        <v>0</v>
      </c>
      <c r="D226" s="46"/>
      <c r="E226" s="46"/>
      <c r="F226" s="46"/>
      <c r="G226" s="46"/>
      <c r="H226" s="46"/>
      <c r="I226" s="46"/>
      <c r="J226" s="46"/>
      <c r="K226" s="46"/>
      <c r="L226" s="46"/>
      <c r="M226" s="46" t="str">
        <f aca="false">IF(B226="","",IF(H226&lt;&gt;"Yes","No",IF(C226=SUMPRODUCT(MAX(($B$2:$B$501=B226)*($H$2:$H$501="Yes")*$C$2:$C$501)),"Yes","No")))</f>
        <v/>
      </c>
      <c r="N226" s="46" t="str">
        <f aca="false">IF(B226="","",IF(H226&lt;&gt;"Yes","Not frozen",IF(AND(J226="Yes",K226="Yes",L226="Yes"),"Complete","Incomplete")))</f>
        <v/>
      </c>
      <c r="O226" s="46" t="str">
        <f aca="false">IF(B226="","",IF(OR(F226="Simbli",F226="Shared folder"),"Yes","No"))</f>
        <v/>
      </c>
      <c r="P226" s="46"/>
    </row>
    <row r="227" customFormat="false" ht="15" hidden="false" customHeight="false" outlineLevel="0" collapsed="false">
      <c r="A227" s="46" t="s">
        <v>2553</v>
      </c>
      <c r="B227" s="46"/>
      <c r="C227" s="49" t="n">
        <f aca="false">IF(OR(B227="",D227=""),0,COUNTIFS($B$2:$B$501,B227,$D$2:$D$501,"&lt;"&amp;D227)+COUNTIFS($B$2:$B$501,B227,$D$2:$D$501,D227,$A$2:$A$501,"&lt;"&amp;A227)+1)</f>
        <v>0</v>
      </c>
      <c r="D227" s="46"/>
      <c r="E227" s="46"/>
      <c r="F227" s="46"/>
      <c r="G227" s="46"/>
      <c r="H227" s="46"/>
      <c r="I227" s="46"/>
      <c r="J227" s="46"/>
      <c r="K227" s="46"/>
      <c r="L227" s="46"/>
      <c r="M227" s="46" t="str">
        <f aca="false">IF(B227="","",IF(H227&lt;&gt;"Yes","No",IF(C227=SUMPRODUCT(MAX(($B$2:$B$501=B227)*($H$2:$H$501="Yes")*$C$2:$C$501)),"Yes","No")))</f>
        <v/>
      </c>
      <c r="N227" s="46" t="str">
        <f aca="false">IF(B227="","",IF(H227&lt;&gt;"Yes","Not frozen",IF(AND(J227="Yes",K227="Yes",L227="Yes"),"Complete","Incomplete")))</f>
        <v/>
      </c>
      <c r="O227" s="46" t="str">
        <f aca="false">IF(B227="","",IF(OR(F227="Simbli",F227="Shared folder"),"Yes","No"))</f>
        <v/>
      </c>
      <c r="P227" s="46"/>
    </row>
    <row r="228" customFormat="false" ht="15" hidden="false" customHeight="false" outlineLevel="0" collapsed="false">
      <c r="A228" s="46" t="s">
        <v>2554</v>
      </c>
      <c r="B228" s="46"/>
      <c r="C228" s="49" t="n">
        <f aca="false">IF(OR(B228="",D228=""),0,COUNTIFS($B$2:$B$501,B228,$D$2:$D$501,"&lt;"&amp;D228)+COUNTIFS($B$2:$B$501,B228,$D$2:$D$501,D228,$A$2:$A$501,"&lt;"&amp;A228)+1)</f>
        <v>0</v>
      </c>
      <c r="D228" s="46"/>
      <c r="E228" s="46"/>
      <c r="F228" s="46"/>
      <c r="G228" s="46"/>
      <c r="H228" s="46"/>
      <c r="I228" s="46"/>
      <c r="J228" s="46"/>
      <c r="K228" s="46"/>
      <c r="L228" s="46"/>
      <c r="M228" s="46" t="str">
        <f aca="false">IF(B228="","",IF(H228&lt;&gt;"Yes","No",IF(C228=SUMPRODUCT(MAX(($B$2:$B$501=B228)*($H$2:$H$501="Yes")*$C$2:$C$501)),"Yes","No")))</f>
        <v/>
      </c>
      <c r="N228" s="46" t="str">
        <f aca="false">IF(B228="","",IF(H228&lt;&gt;"Yes","Not frozen",IF(AND(J228="Yes",K228="Yes",L228="Yes"),"Complete","Incomplete")))</f>
        <v/>
      </c>
      <c r="O228" s="46" t="str">
        <f aca="false">IF(B228="","",IF(OR(F228="Simbli",F228="Shared folder"),"Yes","No"))</f>
        <v/>
      </c>
      <c r="P228" s="46"/>
    </row>
    <row r="229" customFormat="false" ht="15" hidden="false" customHeight="false" outlineLevel="0" collapsed="false">
      <c r="A229" s="46" t="s">
        <v>2555</v>
      </c>
      <c r="B229" s="46"/>
      <c r="C229" s="49" t="n">
        <f aca="false">IF(OR(B229="",D229=""),0,COUNTIFS($B$2:$B$501,B229,$D$2:$D$501,"&lt;"&amp;D229)+COUNTIFS($B$2:$B$501,B229,$D$2:$D$501,D229,$A$2:$A$501,"&lt;"&amp;A229)+1)</f>
        <v>0</v>
      </c>
      <c r="D229" s="46"/>
      <c r="E229" s="46"/>
      <c r="F229" s="46"/>
      <c r="G229" s="46"/>
      <c r="H229" s="46"/>
      <c r="I229" s="46"/>
      <c r="J229" s="46"/>
      <c r="K229" s="46"/>
      <c r="L229" s="46"/>
      <c r="M229" s="46" t="str">
        <f aca="false">IF(B229="","",IF(H229&lt;&gt;"Yes","No",IF(C229=SUMPRODUCT(MAX(($B$2:$B$501=B229)*($H$2:$H$501="Yes")*$C$2:$C$501)),"Yes","No")))</f>
        <v/>
      </c>
      <c r="N229" s="46" t="str">
        <f aca="false">IF(B229="","",IF(H229&lt;&gt;"Yes","Not frozen",IF(AND(J229="Yes",K229="Yes",L229="Yes"),"Complete","Incomplete")))</f>
        <v/>
      </c>
      <c r="O229" s="46" t="str">
        <f aca="false">IF(B229="","",IF(OR(F229="Simbli",F229="Shared folder"),"Yes","No"))</f>
        <v/>
      </c>
      <c r="P229" s="46"/>
    </row>
    <row r="230" customFormat="false" ht="15" hidden="false" customHeight="false" outlineLevel="0" collapsed="false">
      <c r="A230" s="46" t="s">
        <v>2556</v>
      </c>
      <c r="B230" s="46"/>
      <c r="C230" s="49" t="n">
        <f aca="false">IF(OR(B230="",D230=""),0,COUNTIFS($B$2:$B$501,B230,$D$2:$D$501,"&lt;"&amp;D230)+COUNTIFS($B$2:$B$501,B230,$D$2:$D$501,D230,$A$2:$A$501,"&lt;"&amp;A230)+1)</f>
        <v>0</v>
      </c>
      <c r="D230" s="46"/>
      <c r="E230" s="46"/>
      <c r="F230" s="46"/>
      <c r="G230" s="46"/>
      <c r="H230" s="46"/>
      <c r="I230" s="46"/>
      <c r="J230" s="46"/>
      <c r="K230" s="46"/>
      <c r="L230" s="46"/>
      <c r="M230" s="46" t="str">
        <f aca="false">IF(B230="","",IF(H230&lt;&gt;"Yes","No",IF(C230=SUMPRODUCT(MAX(($B$2:$B$501=B230)*($H$2:$H$501="Yes")*$C$2:$C$501)),"Yes","No")))</f>
        <v/>
      </c>
      <c r="N230" s="46" t="str">
        <f aca="false">IF(B230="","",IF(H230&lt;&gt;"Yes","Not frozen",IF(AND(J230="Yes",K230="Yes",L230="Yes"),"Complete","Incomplete")))</f>
        <v/>
      </c>
      <c r="O230" s="46" t="str">
        <f aca="false">IF(B230="","",IF(OR(F230="Simbli",F230="Shared folder"),"Yes","No"))</f>
        <v/>
      </c>
      <c r="P230" s="46"/>
    </row>
    <row r="231" customFormat="false" ht="15" hidden="false" customHeight="false" outlineLevel="0" collapsed="false">
      <c r="A231" s="46" t="s">
        <v>2557</v>
      </c>
      <c r="B231" s="46"/>
      <c r="C231" s="49" t="n">
        <f aca="false">IF(OR(B231="",D231=""),0,COUNTIFS($B$2:$B$501,B231,$D$2:$D$501,"&lt;"&amp;D231)+COUNTIFS($B$2:$B$501,B231,$D$2:$D$501,D231,$A$2:$A$501,"&lt;"&amp;A231)+1)</f>
        <v>0</v>
      </c>
      <c r="D231" s="46"/>
      <c r="E231" s="46"/>
      <c r="F231" s="46"/>
      <c r="G231" s="46"/>
      <c r="H231" s="46"/>
      <c r="I231" s="46"/>
      <c r="J231" s="46"/>
      <c r="K231" s="46"/>
      <c r="L231" s="46"/>
      <c r="M231" s="46" t="str">
        <f aca="false">IF(B231="","",IF(H231&lt;&gt;"Yes","No",IF(C231=SUMPRODUCT(MAX(($B$2:$B$501=B231)*($H$2:$H$501="Yes")*$C$2:$C$501)),"Yes","No")))</f>
        <v/>
      </c>
      <c r="N231" s="46" t="str">
        <f aca="false">IF(B231="","",IF(H231&lt;&gt;"Yes","Not frozen",IF(AND(J231="Yes",K231="Yes",L231="Yes"),"Complete","Incomplete")))</f>
        <v/>
      </c>
      <c r="O231" s="46" t="str">
        <f aca="false">IF(B231="","",IF(OR(F231="Simbli",F231="Shared folder"),"Yes","No"))</f>
        <v/>
      </c>
      <c r="P231" s="46"/>
    </row>
    <row r="232" customFormat="false" ht="15" hidden="false" customHeight="false" outlineLevel="0" collapsed="false">
      <c r="A232" s="46" t="s">
        <v>2558</v>
      </c>
      <c r="B232" s="46"/>
      <c r="C232" s="49" t="n">
        <f aca="false">IF(OR(B232="",D232=""),0,COUNTIFS($B$2:$B$501,B232,$D$2:$D$501,"&lt;"&amp;D232)+COUNTIFS($B$2:$B$501,B232,$D$2:$D$501,D232,$A$2:$A$501,"&lt;"&amp;A232)+1)</f>
        <v>0</v>
      </c>
      <c r="D232" s="46"/>
      <c r="E232" s="46"/>
      <c r="F232" s="46"/>
      <c r="G232" s="46"/>
      <c r="H232" s="46"/>
      <c r="I232" s="46"/>
      <c r="J232" s="46"/>
      <c r="K232" s="46"/>
      <c r="L232" s="46"/>
      <c r="M232" s="46" t="str">
        <f aca="false">IF(B232="","",IF(H232&lt;&gt;"Yes","No",IF(C232=SUMPRODUCT(MAX(($B$2:$B$501=B232)*($H$2:$H$501="Yes")*$C$2:$C$501)),"Yes","No")))</f>
        <v/>
      </c>
      <c r="N232" s="46" t="str">
        <f aca="false">IF(B232="","",IF(H232&lt;&gt;"Yes","Not frozen",IF(AND(J232="Yes",K232="Yes",L232="Yes"),"Complete","Incomplete")))</f>
        <v/>
      </c>
      <c r="O232" s="46" t="str">
        <f aca="false">IF(B232="","",IF(OR(F232="Simbli",F232="Shared folder"),"Yes","No"))</f>
        <v/>
      </c>
      <c r="P232" s="46"/>
    </row>
    <row r="233" customFormat="false" ht="15" hidden="false" customHeight="false" outlineLevel="0" collapsed="false">
      <c r="A233" s="46" t="s">
        <v>2559</v>
      </c>
      <c r="B233" s="46"/>
      <c r="C233" s="49" t="n">
        <f aca="false">IF(OR(B233="",D233=""),0,COUNTIFS($B$2:$B$501,B233,$D$2:$D$501,"&lt;"&amp;D233)+COUNTIFS($B$2:$B$501,B233,$D$2:$D$501,D233,$A$2:$A$501,"&lt;"&amp;A233)+1)</f>
        <v>0</v>
      </c>
      <c r="D233" s="46"/>
      <c r="E233" s="46"/>
      <c r="F233" s="46"/>
      <c r="G233" s="46"/>
      <c r="H233" s="46"/>
      <c r="I233" s="46"/>
      <c r="J233" s="46"/>
      <c r="K233" s="46"/>
      <c r="L233" s="46"/>
      <c r="M233" s="46" t="str">
        <f aca="false">IF(B233="","",IF(H233&lt;&gt;"Yes","No",IF(C233=SUMPRODUCT(MAX(($B$2:$B$501=B233)*($H$2:$H$501="Yes")*$C$2:$C$501)),"Yes","No")))</f>
        <v/>
      </c>
      <c r="N233" s="46" t="str">
        <f aca="false">IF(B233="","",IF(H233&lt;&gt;"Yes","Not frozen",IF(AND(J233="Yes",K233="Yes",L233="Yes"),"Complete","Incomplete")))</f>
        <v/>
      </c>
      <c r="O233" s="46" t="str">
        <f aca="false">IF(B233="","",IF(OR(F233="Simbli",F233="Shared folder"),"Yes","No"))</f>
        <v/>
      </c>
      <c r="P233" s="46"/>
    </row>
    <row r="234" customFormat="false" ht="15" hidden="false" customHeight="false" outlineLevel="0" collapsed="false">
      <c r="A234" s="46" t="s">
        <v>2560</v>
      </c>
      <c r="B234" s="46"/>
      <c r="C234" s="49" t="n">
        <f aca="false">IF(OR(B234="",D234=""),0,COUNTIFS($B$2:$B$501,B234,$D$2:$D$501,"&lt;"&amp;D234)+COUNTIFS($B$2:$B$501,B234,$D$2:$D$501,D234,$A$2:$A$501,"&lt;"&amp;A234)+1)</f>
        <v>0</v>
      </c>
      <c r="D234" s="46"/>
      <c r="E234" s="46"/>
      <c r="F234" s="46"/>
      <c r="G234" s="46"/>
      <c r="H234" s="46"/>
      <c r="I234" s="46"/>
      <c r="J234" s="46"/>
      <c r="K234" s="46"/>
      <c r="L234" s="46"/>
      <c r="M234" s="46" t="str">
        <f aca="false">IF(B234="","",IF(H234&lt;&gt;"Yes","No",IF(C234=SUMPRODUCT(MAX(($B$2:$B$501=B234)*($H$2:$H$501="Yes")*$C$2:$C$501)),"Yes","No")))</f>
        <v/>
      </c>
      <c r="N234" s="46" t="str">
        <f aca="false">IF(B234="","",IF(H234&lt;&gt;"Yes","Not frozen",IF(AND(J234="Yes",K234="Yes",L234="Yes"),"Complete","Incomplete")))</f>
        <v/>
      </c>
      <c r="O234" s="46" t="str">
        <f aca="false">IF(B234="","",IF(OR(F234="Simbli",F234="Shared folder"),"Yes","No"))</f>
        <v/>
      </c>
      <c r="P234" s="46"/>
    </row>
    <row r="235" customFormat="false" ht="15" hidden="false" customHeight="false" outlineLevel="0" collapsed="false">
      <c r="A235" s="46" t="s">
        <v>2561</v>
      </c>
      <c r="B235" s="46"/>
      <c r="C235" s="49" t="n">
        <f aca="false">IF(OR(B235="",D235=""),0,COUNTIFS($B$2:$B$501,B235,$D$2:$D$501,"&lt;"&amp;D235)+COUNTIFS($B$2:$B$501,B235,$D$2:$D$501,D235,$A$2:$A$501,"&lt;"&amp;A235)+1)</f>
        <v>0</v>
      </c>
      <c r="D235" s="46"/>
      <c r="E235" s="46"/>
      <c r="F235" s="46"/>
      <c r="G235" s="46"/>
      <c r="H235" s="46"/>
      <c r="I235" s="46"/>
      <c r="J235" s="46"/>
      <c r="K235" s="46"/>
      <c r="L235" s="46"/>
      <c r="M235" s="46" t="str">
        <f aca="false">IF(B235="","",IF(H235&lt;&gt;"Yes","No",IF(C235=SUMPRODUCT(MAX(($B$2:$B$501=B235)*($H$2:$H$501="Yes")*$C$2:$C$501)),"Yes","No")))</f>
        <v/>
      </c>
      <c r="N235" s="46" t="str">
        <f aca="false">IF(B235="","",IF(H235&lt;&gt;"Yes","Not frozen",IF(AND(J235="Yes",K235="Yes",L235="Yes"),"Complete","Incomplete")))</f>
        <v/>
      </c>
      <c r="O235" s="46" t="str">
        <f aca="false">IF(B235="","",IF(OR(F235="Simbli",F235="Shared folder"),"Yes","No"))</f>
        <v/>
      </c>
      <c r="P235" s="46"/>
    </row>
    <row r="236" customFormat="false" ht="15" hidden="false" customHeight="false" outlineLevel="0" collapsed="false">
      <c r="A236" s="46" t="s">
        <v>2562</v>
      </c>
      <c r="B236" s="46"/>
      <c r="C236" s="49" t="n">
        <f aca="false">IF(OR(B236="",D236=""),0,COUNTIFS($B$2:$B$501,B236,$D$2:$D$501,"&lt;"&amp;D236)+COUNTIFS($B$2:$B$501,B236,$D$2:$D$501,D236,$A$2:$A$501,"&lt;"&amp;A236)+1)</f>
        <v>0</v>
      </c>
      <c r="D236" s="46"/>
      <c r="E236" s="46"/>
      <c r="F236" s="46"/>
      <c r="G236" s="46"/>
      <c r="H236" s="46"/>
      <c r="I236" s="46"/>
      <c r="J236" s="46"/>
      <c r="K236" s="46"/>
      <c r="L236" s="46"/>
      <c r="M236" s="46" t="str">
        <f aca="false">IF(B236="","",IF(H236&lt;&gt;"Yes","No",IF(C236=SUMPRODUCT(MAX(($B$2:$B$501=B236)*($H$2:$H$501="Yes")*$C$2:$C$501)),"Yes","No")))</f>
        <v/>
      </c>
      <c r="N236" s="46" t="str">
        <f aca="false">IF(B236="","",IF(H236&lt;&gt;"Yes","Not frozen",IF(AND(J236="Yes",K236="Yes",L236="Yes"),"Complete","Incomplete")))</f>
        <v/>
      </c>
      <c r="O236" s="46" t="str">
        <f aca="false">IF(B236="","",IF(OR(F236="Simbli",F236="Shared folder"),"Yes","No"))</f>
        <v/>
      </c>
      <c r="P236" s="46"/>
    </row>
    <row r="237" customFormat="false" ht="15" hidden="false" customHeight="false" outlineLevel="0" collapsed="false">
      <c r="A237" s="46" t="s">
        <v>2563</v>
      </c>
      <c r="B237" s="46"/>
      <c r="C237" s="49" t="n">
        <f aca="false">IF(OR(B237="",D237=""),0,COUNTIFS($B$2:$B$501,B237,$D$2:$D$501,"&lt;"&amp;D237)+COUNTIFS($B$2:$B$501,B237,$D$2:$D$501,D237,$A$2:$A$501,"&lt;"&amp;A237)+1)</f>
        <v>0</v>
      </c>
      <c r="D237" s="46"/>
      <c r="E237" s="46"/>
      <c r="F237" s="46"/>
      <c r="G237" s="46"/>
      <c r="H237" s="46"/>
      <c r="I237" s="46"/>
      <c r="J237" s="46"/>
      <c r="K237" s="46"/>
      <c r="L237" s="46"/>
      <c r="M237" s="46" t="str">
        <f aca="false">IF(B237="","",IF(H237&lt;&gt;"Yes","No",IF(C237=SUMPRODUCT(MAX(($B$2:$B$501=B237)*($H$2:$H$501="Yes")*$C$2:$C$501)),"Yes","No")))</f>
        <v/>
      </c>
      <c r="N237" s="46" t="str">
        <f aca="false">IF(B237="","",IF(H237&lt;&gt;"Yes","Not frozen",IF(AND(J237="Yes",K237="Yes",L237="Yes"),"Complete","Incomplete")))</f>
        <v/>
      </c>
      <c r="O237" s="46" t="str">
        <f aca="false">IF(B237="","",IF(OR(F237="Simbli",F237="Shared folder"),"Yes","No"))</f>
        <v/>
      </c>
      <c r="P237" s="46"/>
    </row>
    <row r="238" customFormat="false" ht="15" hidden="false" customHeight="false" outlineLevel="0" collapsed="false">
      <c r="A238" s="46" t="s">
        <v>2564</v>
      </c>
      <c r="B238" s="46"/>
      <c r="C238" s="49" t="n">
        <f aca="false">IF(OR(B238="",D238=""),0,COUNTIFS($B$2:$B$501,B238,$D$2:$D$501,"&lt;"&amp;D238)+COUNTIFS($B$2:$B$501,B238,$D$2:$D$501,D238,$A$2:$A$501,"&lt;"&amp;A238)+1)</f>
        <v>0</v>
      </c>
      <c r="D238" s="46"/>
      <c r="E238" s="46"/>
      <c r="F238" s="46"/>
      <c r="G238" s="46"/>
      <c r="H238" s="46"/>
      <c r="I238" s="46"/>
      <c r="J238" s="46"/>
      <c r="K238" s="46"/>
      <c r="L238" s="46"/>
      <c r="M238" s="46" t="str">
        <f aca="false">IF(B238="","",IF(H238&lt;&gt;"Yes","No",IF(C238=SUMPRODUCT(MAX(($B$2:$B$501=B238)*($H$2:$H$501="Yes")*$C$2:$C$501)),"Yes","No")))</f>
        <v/>
      </c>
      <c r="N238" s="46" t="str">
        <f aca="false">IF(B238="","",IF(H238&lt;&gt;"Yes","Not frozen",IF(AND(J238="Yes",K238="Yes",L238="Yes"),"Complete","Incomplete")))</f>
        <v/>
      </c>
      <c r="O238" s="46" t="str">
        <f aca="false">IF(B238="","",IF(OR(F238="Simbli",F238="Shared folder"),"Yes","No"))</f>
        <v/>
      </c>
      <c r="P238" s="46"/>
    </row>
    <row r="239" customFormat="false" ht="15" hidden="false" customHeight="false" outlineLevel="0" collapsed="false">
      <c r="A239" s="46" t="s">
        <v>2565</v>
      </c>
      <c r="B239" s="46"/>
      <c r="C239" s="49" t="n">
        <f aca="false">IF(OR(B239="",D239=""),0,COUNTIFS($B$2:$B$501,B239,$D$2:$D$501,"&lt;"&amp;D239)+COUNTIFS($B$2:$B$501,B239,$D$2:$D$501,D239,$A$2:$A$501,"&lt;"&amp;A239)+1)</f>
        <v>0</v>
      </c>
      <c r="D239" s="46"/>
      <c r="E239" s="46"/>
      <c r="F239" s="46"/>
      <c r="G239" s="46"/>
      <c r="H239" s="46"/>
      <c r="I239" s="46"/>
      <c r="J239" s="46"/>
      <c r="K239" s="46"/>
      <c r="L239" s="46"/>
      <c r="M239" s="46" t="str">
        <f aca="false">IF(B239="","",IF(H239&lt;&gt;"Yes","No",IF(C239=SUMPRODUCT(MAX(($B$2:$B$501=B239)*($H$2:$H$501="Yes")*$C$2:$C$501)),"Yes","No")))</f>
        <v/>
      </c>
      <c r="N239" s="46" t="str">
        <f aca="false">IF(B239="","",IF(H239&lt;&gt;"Yes","Not frozen",IF(AND(J239="Yes",K239="Yes",L239="Yes"),"Complete","Incomplete")))</f>
        <v/>
      </c>
      <c r="O239" s="46" t="str">
        <f aca="false">IF(B239="","",IF(OR(F239="Simbli",F239="Shared folder"),"Yes","No"))</f>
        <v/>
      </c>
      <c r="P239" s="46"/>
    </row>
    <row r="240" customFormat="false" ht="15" hidden="false" customHeight="false" outlineLevel="0" collapsed="false">
      <c r="A240" s="46" t="s">
        <v>2566</v>
      </c>
      <c r="B240" s="46"/>
      <c r="C240" s="49" t="n">
        <f aca="false">IF(OR(B240="",D240=""),0,COUNTIFS($B$2:$B$501,B240,$D$2:$D$501,"&lt;"&amp;D240)+COUNTIFS($B$2:$B$501,B240,$D$2:$D$501,D240,$A$2:$A$501,"&lt;"&amp;A240)+1)</f>
        <v>0</v>
      </c>
      <c r="D240" s="46"/>
      <c r="E240" s="46"/>
      <c r="F240" s="46"/>
      <c r="G240" s="46"/>
      <c r="H240" s="46"/>
      <c r="I240" s="46"/>
      <c r="J240" s="46"/>
      <c r="K240" s="46"/>
      <c r="L240" s="46"/>
      <c r="M240" s="46" t="str">
        <f aca="false">IF(B240="","",IF(H240&lt;&gt;"Yes","No",IF(C240=SUMPRODUCT(MAX(($B$2:$B$501=B240)*($H$2:$H$501="Yes")*$C$2:$C$501)),"Yes","No")))</f>
        <v/>
      </c>
      <c r="N240" s="46" t="str">
        <f aca="false">IF(B240="","",IF(H240&lt;&gt;"Yes","Not frozen",IF(AND(J240="Yes",K240="Yes",L240="Yes"),"Complete","Incomplete")))</f>
        <v/>
      </c>
      <c r="O240" s="46" t="str">
        <f aca="false">IF(B240="","",IF(OR(F240="Simbli",F240="Shared folder"),"Yes","No"))</f>
        <v/>
      </c>
      <c r="P240" s="46"/>
    </row>
    <row r="241" customFormat="false" ht="15" hidden="false" customHeight="false" outlineLevel="0" collapsed="false">
      <c r="A241" s="46" t="s">
        <v>2567</v>
      </c>
      <c r="B241" s="46"/>
      <c r="C241" s="49" t="n">
        <f aca="false">IF(OR(B241="",D241=""),0,COUNTIFS($B$2:$B$501,B241,$D$2:$D$501,"&lt;"&amp;D241)+COUNTIFS($B$2:$B$501,B241,$D$2:$D$501,D241,$A$2:$A$501,"&lt;"&amp;A241)+1)</f>
        <v>0</v>
      </c>
      <c r="D241" s="46"/>
      <c r="E241" s="46"/>
      <c r="F241" s="46"/>
      <c r="G241" s="46"/>
      <c r="H241" s="46"/>
      <c r="I241" s="46"/>
      <c r="J241" s="46"/>
      <c r="K241" s="46"/>
      <c r="L241" s="46"/>
      <c r="M241" s="46" t="str">
        <f aca="false">IF(B241="","",IF(H241&lt;&gt;"Yes","No",IF(C241=SUMPRODUCT(MAX(($B$2:$B$501=B241)*($H$2:$H$501="Yes")*$C$2:$C$501)),"Yes","No")))</f>
        <v/>
      </c>
      <c r="N241" s="46" t="str">
        <f aca="false">IF(B241="","",IF(H241&lt;&gt;"Yes","Not frozen",IF(AND(J241="Yes",K241="Yes",L241="Yes"),"Complete","Incomplete")))</f>
        <v/>
      </c>
      <c r="O241" s="46" t="str">
        <f aca="false">IF(B241="","",IF(OR(F241="Simbli",F241="Shared folder"),"Yes","No"))</f>
        <v/>
      </c>
      <c r="P241" s="46"/>
    </row>
    <row r="242" customFormat="false" ht="15" hidden="false" customHeight="false" outlineLevel="0" collapsed="false">
      <c r="A242" s="46" t="s">
        <v>2568</v>
      </c>
      <c r="B242" s="46"/>
      <c r="C242" s="49" t="n">
        <f aca="false">IF(OR(B242="",D242=""),0,COUNTIFS($B$2:$B$501,B242,$D$2:$D$501,"&lt;"&amp;D242)+COUNTIFS($B$2:$B$501,B242,$D$2:$D$501,D242,$A$2:$A$501,"&lt;"&amp;A242)+1)</f>
        <v>0</v>
      </c>
      <c r="D242" s="46"/>
      <c r="E242" s="46"/>
      <c r="F242" s="46"/>
      <c r="G242" s="46"/>
      <c r="H242" s="46"/>
      <c r="I242" s="46"/>
      <c r="J242" s="46"/>
      <c r="K242" s="46"/>
      <c r="L242" s="46"/>
      <c r="M242" s="46" t="str">
        <f aca="false">IF(B242="","",IF(H242&lt;&gt;"Yes","No",IF(C242=SUMPRODUCT(MAX(($B$2:$B$501=B242)*($H$2:$H$501="Yes")*$C$2:$C$501)),"Yes","No")))</f>
        <v/>
      </c>
      <c r="N242" s="46" t="str">
        <f aca="false">IF(B242="","",IF(H242&lt;&gt;"Yes","Not frozen",IF(AND(J242="Yes",K242="Yes",L242="Yes"),"Complete","Incomplete")))</f>
        <v/>
      </c>
      <c r="O242" s="46" t="str">
        <f aca="false">IF(B242="","",IF(OR(F242="Simbli",F242="Shared folder"),"Yes","No"))</f>
        <v/>
      </c>
      <c r="P242" s="46"/>
    </row>
    <row r="243" customFormat="false" ht="15" hidden="false" customHeight="false" outlineLevel="0" collapsed="false">
      <c r="A243" s="46" t="s">
        <v>2569</v>
      </c>
      <c r="B243" s="46"/>
      <c r="C243" s="49" t="n">
        <f aca="false">IF(OR(B243="",D243=""),0,COUNTIFS($B$2:$B$501,B243,$D$2:$D$501,"&lt;"&amp;D243)+COUNTIFS($B$2:$B$501,B243,$D$2:$D$501,D243,$A$2:$A$501,"&lt;"&amp;A243)+1)</f>
        <v>0</v>
      </c>
      <c r="D243" s="46"/>
      <c r="E243" s="46"/>
      <c r="F243" s="46"/>
      <c r="G243" s="46"/>
      <c r="H243" s="46"/>
      <c r="I243" s="46"/>
      <c r="J243" s="46"/>
      <c r="K243" s="46"/>
      <c r="L243" s="46"/>
      <c r="M243" s="46" t="str">
        <f aca="false">IF(B243="","",IF(H243&lt;&gt;"Yes","No",IF(C243=SUMPRODUCT(MAX(($B$2:$B$501=B243)*($H$2:$H$501="Yes")*$C$2:$C$501)),"Yes","No")))</f>
        <v/>
      </c>
      <c r="N243" s="46" t="str">
        <f aca="false">IF(B243="","",IF(H243&lt;&gt;"Yes","Not frozen",IF(AND(J243="Yes",K243="Yes",L243="Yes"),"Complete","Incomplete")))</f>
        <v/>
      </c>
      <c r="O243" s="46" t="str">
        <f aca="false">IF(B243="","",IF(OR(F243="Simbli",F243="Shared folder"),"Yes","No"))</f>
        <v/>
      </c>
      <c r="P243" s="46"/>
    </row>
    <row r="244" customFormat="false" ht="15" hidden="false" customHeight="false" outlineLevel="0" collapsed="false">
      <c r="A244" s="46" t="s">
        <v>2570</v>
      </c>
      <c r="B244" s="46"/>
      <c r="C244" s="49" t="n">
        <f aca="false">IF(OR(B244="",D244=""),0,COUNTIFS($B$2:$B$501,B244,$D$2:$D$501,"&lt;"&amp;D244)+COUNTIFS($B$2:$B$501,B244,$D$2:$D$501,D244,$A$2:$A$501,"&lt;"&amp;A244)+1)</f>
        <v>0</v>
      </c>
      <c r="D244" s="46"/>
      <c r="E244" s="46"/>
      <c r="F244" s="46"/>
      <c r="G244" s="46"/>
      <c r="H244" s="46"/>
      <c r="I244" s="46"/>
      <c r="J244" s="46"/>
      <c r="K244" s="46"/>
      <c r="L244" s="46"/>
      <c r="M244" s="46" t="str">
        <f aca="false">IF(B244="","",IF(H244&lt;&gt;"Yes","No",IF(C244=SUMPRODUCT(MAX(($B$2:$B$501=B244)*($H$2:$H$501="Yes")*$C$2:$C$501)),"Yes","No")))</f>
        <v/>
      </c>
      <c r="N244" s="46" t="str">
        <f aca="false">IF(B244="","",IF(H244&lt;&gt;"Yes","Not frozen",IF(AND(J244="Yes",K244="Yes",L244="Yes"),"Complete","Incomplete")))</f>
        <v/>
      </c>
      <c r="O244" s="46" t="str">
        <f aca="false">IF(B244="","",IF(OR(F244="Simbli",F244="Shared folder"),"Yes","No"))</f>
        <v/>
      </c>
      <c r="P244" s="46"/>
    </row>
    <row r="245" customFormat="false" ht="15" hidden="false" customHeight="false" outlineLevel="0" collapsed="false">
      <c r="A245" s="46" t="s">
        <v>2571</v>
      </c>
      <c r="B245" s="46"/>
      <c r="C245" s="49" t="n">
        <f aca="false">IF(OR(B245="",D245=""),0,COUNTIFS($B$2:$B$501,B245,$D$2:$D$501,"&lt;"&amp;D245)+COUNTIFS($B$2:$B$501,B245,$D$2:$D$501,D245,$A$2:$A$501,"&lt;"&amp;A245)+1)</f>
        <v>0</v>
      </c>
      <c r="D245" s="46"/>
      <c r="E245" s="46"/>
      <c r="F245" s="46"/>
      <c r="G245" s="46"/>
      <c r="H245" s="46"/>
      <c r="I245" s="46"/>
      <c r="J245" s="46"/>
      <c r="K245" s="46"/>
      <c r="L245" s="46"/>
      <c r="M245" s="46" t="str">
        <f aca="false">IF(B245="","",IF(H245&lt;&gt;"Yes","No",IF(C245=SUMPRODUCT(MAX(($B$2:$B$501=B245)*($H$2:$H$501="Yes")*$C$2:$C$501)),"Yes","No")))</f>
        <v/>
      </c>
      <c r="N245" s="46" t="str">
        <f aca="false">IF(B245="","",IF(H245&lt;&gt;"Yes","Not frozen",IF(AND(J245="Yes",K245="Yes",L245="Yes"),"Complete","Incomplete")))</f>
        <v/>
      </c>
      <c r="O245" s="46" t="str">
        <f aca="false">IF(B245="","",IF(OR(F245="Simbli",F245="Shared folder"),"Yes","No"))</f>
        <v/>
      </c>
      <c r="P245" s="46"/>
    </row>
    <row r="246" customFormat="false" ht="15" hidden="false" customHeight="false" outlineLevel="0" collapsed="false">
      <c r="A246" s="46" t="s">
        <v>2572</v>
      </c>
      <c r="B246" s="46"/>
      <c r="C246" s="49" t="n">
        <f aca="false">IF(OR(B246="",D246=""),0,COUNTIFS($B$2:$B$501,B246,$D$2:$D$501,"&lt;"&amp;D246)+COUNTIFS($B$2:$B$501,B246,$D$2:$D$501,D246,$A$2:$A$501,"&lt;"&amp;A246)+1)</f>
        <v>0</v>
      </c>
      <c r="D246" s="46"/>
      <c r="E246" s="46"/>
      <c r="F246" s="46"/>
      <c r="G246" s="46"/>
      <c r="H246" s="46"/>
      <c r="I246" s="46"/>
      <c r="J246" s="46"/>
      <c r="K246" s="46"/>
      <c r="L246" s="46"/>
      <c r="M246" s="46" t="str">
        <f aca="false">IF(B246="","",IF(H246&lt;&gt;"Yes","No",IF(C246=SUMPRODUCT(MAX(($B$2:$B$501=B246)*($H$2:$H$501="Yes")*$C$2:$C$501)),"Yes","No")))</f>
        <v/>
      </c>
      <c r="N246" s="46" t="str">
        <f aca="false">IF(B246="","",IF(H246&lt;&gt;"Yes","Not frozen",IF(AND(J246="Yes",K246="Yes",L246="Yes"),"Complete","Incomplete")))</f>
        <v/>
      </c>
      <c r="O246" s="46" t="str">
        <f aca="false">IF(B246="","",IF(OR(F246="Simbli",F246="Shared folder"),"Yes","No"))</f>
        <v/>
      </c>
      <c r="P246" s="46"/>
    </row>
    <row r="247" customFormat="false" ht="15" hidden="false" customHeight="false" outlineLevel="0" collapsed="false">
      <c r="A247" s="46" t="s">
        <v>2573</v>
      </c>
      <c r="B247" s="46"/>
      <c r="C247" s="49" t="n">
        <f aca="false">IF(OR(B247="",D247=""),0,COUNTIFS($B$2:$B$501,B247,$D$2:$D$501,"&lt;"&amp;D247)+COUNTIFS($B$2:$B$501,B247,$D$2:$D$501,D247,$A$2:$A$501,"&lt;"&amp;A247)+1)</f>
        <v>0</v>
      </c>
      <c r="D247" s="46"/>
      <c r="E247" s="46"/>
      <c r="F247" s="46"/>
      <c r="G247" s="46"/>
      <c r="H247" s="46"/>
      <c r="I247" s="46"/>
      <c r="J247" s="46"/>
      <c r="K247" s="46"/>
      <c r="L247" s="46"/>
      <c r="M247" s="46" t="str">
        <f aca="false">IF(B247="","",IF(H247&lt;&gt;"Yes","No",IF(C247=SUMPRODUCT(MAX(($B$2:$B$501=B247)*($H$2:$H$501="Yes")*$C$2:$C$501)),"Yes","No")))</f>
        <v/>
      </c>
      <c r="N247" s="46" t="str">
        <f aca="false">IF(B247="","",IF(H247&lt;&gt;"Yes","Not frozen",IF(AND(J247="Yes",K247="Yes",L247="Yes"),"Complete","Incomplete")))</f>
        <v/>
      </c>
      <c r="O247" s="46" t="str">
        <f aca="false">IF(B247="","",IF(OR(F247="Simbli",F247="Shared folder"),"Yes","No"))</f>
        <v/>
      </c>
      <c r="P247" s="46"/>
    </row>
    <row r="248" customFormat="false" ht="15" hidden="false" customHeight="false" outlineLevel="0" collapsed="false">
      <c r="A248" s="46" t="s">
        <v>2574</v>
      </c>
      <c r="B248" s="46"/>
      <c r="C248" s="49" t="n">
        <f aca="false">IF(OR(B248="",D248=""),0,COUNTIFS($B$2:$B$501,B248,$D$2:$D$501,"&lt;"&amp;D248)+COUNTIFS($B$2:$B$501,B248,$D$2:$D$501,D248,$A$2:$A$501,"&lt;"&amp;A248)+1)</f>
        <v>0</v>
      </c>
      <c r="D248" s="46"/>
      <c r="E248" s="46"/>
      <c r="F248" s="46"/>
      <c r="G248" s="46"/>
      <c r="H248" s="46"/>
      <c r="I248" s="46"/>
      <c r="J248" s="46"/>
      <c r="K248" s="46"/>
      <c r="L248" s="46"/>
      <c r="M248" s="46" t="str">
        <f aca="false">IF(B248="","",IF(H248&lt;&gt;"Yes","No",IF(C248=SUMPRODUCT(MAX(($B$2:$B$501=B248)*($H$2:$H$501="Yes")*$C$2:$C$501)),"Yes","No")))</f>
        <v/>
      </c>
      <c r="N248" s="46" t="str">
        <f aca="false">IF(B248="","",IF(H248&lt;&gt;"Yes","Not frozen",IF(AND(J248="Yes",K248="Yes",L248="Yes"),"Complete","Incomplete")))</f>
        <v/>
      </c>
      <c r="O248" s="46" t="str">
        <f aca="false">IF(B248="","",IF(OR(F248="Simbli",F248="Shared folder"),"Yes","No"))</f>
        <v/>
      </c>
      <c r="P248" s="46"/>
    </row>
    <row r="249" customFormat="false" ht="15" hidden="false" customHeight="false" outlineLevel="0" collapsed="false">
      <c r="A249" s="46" t="s">
        <v>2575</v>
      </c>
      <c r="B249" s="46"/>
      <c r="C249" s="49" t="n">
        <f aca="false">IF(OR(B249="",D249=""),0,COUNTIFS($B$2:$B$501,B249,$D$2:$D$501,"&lt;"&amp;D249)+COUNTIFS($B$2:$B$501,B249,$D$2:$D$501,D249,$A$2:$A$501,"&lt;"&amp;A249)+1)</f>
        <v>0</v>
      </c>
      <c r="D249" s="46"/>
      <c r="E249" s="46"/>
      <c r="F249" s="46"/>
      <c r="G249" s="46"/>
      <c r="H249" s="46"/>
      <c r="I249" s="46"/>
      <c r="J249" s="46"/>
      <c r="K249" s="46"/>
      <c r="L249" s="46"/>
      <c r="M249" s="46" t="str">
        <f aca="false">IF(B249="","",IF(H249&lt;&gt;"Yes","No",IF(C249=SUMPRODUCT(MAX(($B$2:$B$501=B249)*($H$2:$H$501="Yes")*$C$2:$C$501)),"Yes","No")))</f>
        <v/>
      </c>
      <c r="N249" s="46" t="str">
        <f aca="false">IF(B249="","",IF(H249&lt;&gt;"Yes","Not frozen",IF(AND(J249="Yes",K249="Yes",L249="Yes"),"Complete","Incomplete")))</f>
        <v/>
      </c>
      <c r="O249" s="46" t="str">
        <f aca="false">IF(B249="","",IF(OR(F249="Simbli",F249="Shared folder"),"Yes","No"))</f>
        <v/>
      </c>
      <c r="P249" s="46"/>
    </row>
    <row r="250" customFormat="false" ht="15" hidden="false" customHeight="false" outlineLevel="0" collapsed="false">
      <c r="A250" s="46" t="s">
        <v>2576</v>
      </c>
      <c r="B250" s="46"/>
      <c r="C250" s="49" t="n">
        <f aca="false">IF(OR(B250="",D250=""),0,COUNTIFS($B$2:$B$501,B250,$D$2:$D$501,"&lt;"&amp;D250)+COUNTIFS($B$2:$B$501,B250,$D$2:$D$501,D250,$A$2:$A$501,"&lt;"&amp;A250)+1)</f>
        <v>0</v>
      </c>
      <c r="D250" s="46"/>
      <c r="E250" s="46"/>
      <c r="F250" s="46"/>
      <c r="G250" s="46"/>
      <c r="H250" s="46"/>
      <c r="I250" s="46"/>
      <c r="J250" s="46"/>
      <c r="K250" s="46"/>
      <c r="L250" s="46"/>
      <c r="M250" s="46" t="str">
        <f aca="false">IF(B250="","",IF(H250&lt;&gt;"Yes","No",IF(C250=SUMPRODUCT(MAX(($B$2:$B$501=B250)*($H$2:$H$501="Yes")*$C$2:$C$501)),"Yes","No")))</f>
        <v/>
      </c>
      <c r="N250" s="46" t="str">
        <f aca="false">IF(B250="","",IF(H250&lt;&gt;"Yes","Not frozen",IF(AND(J250="Yes",K250="Yes",L250="Yes"),"Complete","Incomplete")))</f>
        <v/>
      </c>
      <c r="O250" s="46" t="str">
        <f aca="false">IF(B250="","",IF(OR(F250="Simbli",F250="Shared folder"),"Yes","No"))</f>
        <v/>
      </c>
      <c r="P250" s="46"/>
    </row>
    <row r="251" customFormat="false" ht="15" hidden="false" customHeight="false" outlineLevel="0" collapsed="false">
      <c r="A251" s="46" t="s">
        <v>2577</v>
      </c>
      <c r="B251" s="46"/>
      <c r="C251" s="49" t="n">
        <f aca="false">IF(OR(B251="",D251=""),0,COUNTIFS($B$2:$B$501,B251,$D$2:$D$501,"&lt;"&amp;D251)+COUNTIFS($B$2:$B$501,B251,$D$2:$D$501,D251,$A$2:$A$501,"&lt;"&amp;A251)+1)</f>
        <v>0</v>
      </c>
      <c r="D251" s="46"/>
      <c r="E251" s="46"/>
      <c r="F251" s="46"/>
      <c r="G251" s="46"/>
      <c r="H251" s="46"/>
      <c r="I251" s="46"/>
      <c r="J251" s="46"/>
      <c r="K251" s="46"/>
      <c r="L251" s="46"/>
      <c r="M251" s="46" t="str">
        <f aca="false">IF(B251="","",IF(H251&lt;&gt;"Yes","No",IF(C251=SUMPRODUCT(MAX(($B$2:$B$501=B251)*($H$2:$H$501="Yes")*$C$2:$C$501)),"Yes","No")))</f>
        <v/>
      </c>
      <c r="N251" s="46" t="str">
        <f aca="false">IF(B251="","",IF(H251&lt;&gt;"Yes","Not frozen",IF(AND(J251="Yes",K251="Yes",L251="Yes"),"Complete","Incomplete")))</f>
        <v/>
      </c>
      <c r="O251" s="46" t="str">
        <f aca="false">IF(B251="","",IF(OR(F251="Simbli",F251="Shared folder"),"Yes","No"))</f>
        <v/>
      </c>
      <c r="P251" s="46"/>
    </row>
    <row r="252" customFormat="false" ht="15" hidden="false" customHeight="false" outlineLevel="0" collapsed="false">
      <c r="A252" s="46" t="s">
        <v>2578</v>
      </c>
      <c r="B252" s="46"/>
      <c r="C252" s="49" t="n">
        <f aca="false">IF(OR(B252="",D252=""),0,COUNTIFS($B$2:$B$501,B252,$D$2:$D$501,"&lt;"&amp;D252)+COUNTIFS($B$2:$B$501,B252,$D$2:$D$501,D252,$A$2:$A$501,"&lt;"&amp;A252)+1)</f>
        <v>0</v>
      </c>
      <c r="D252" s="46"/>
      <c r="E252" s="46"/>
      <c r="F252" s="46"/>
      <c r="G252" s="46"/>
      <c r="H252" s="46"/>
      <c r="I252" s="46"/>
      <c r="J252" s="46"/>
      <c r="K252" s="46"/>
      <c r="L252" s="46"/>
      <c r="M252" s="46" t="str">
        <f aca="false">IF(B252="","",IF(H252&lt;&gt;"Yes","No",IF(C252=SUMPRODUCT(MAX(($B$2:$B$501=B252)*($H$2:$H$501="Yes")*$C$2:$C$501)),"Yes","No")))</f>
        <v/>
      </c>
      <c r="N252" s="46" t="str">
        <f aca="false">IF(B252="","",IF(H252&lt;&gt;"Yes","Not frozen",IF(AND(J252="Yes",K252="Yes",L252="Yes"),"Complete","Incomplete")))</f>
        <v/>
      </c>
      <c r="O252" s="46" t="str">
        <f aca="false">IF(B252="","",IF(OR(F252="Simbli",F252="Shared folder"),"Yes","No"))</f>
        <v/>
      </c>
      <c r="P252" s="46"/>
    </row>
    <row r="253" customFormat="false" ht="15" hidden="false" customHeight="false" outlineLevel="0" collapsed="false">
      <c r="A253" s="46" t="s">
        <v>2579</v>
      </c>
      <c r="B253" s="46"/>
      <c r="C253" s="49" t="n">
        <f aca="false">IF(OR(B253="",D253=""),0,COUNTIFS($B$2:$B$501,B253,$D$2:$D$501,"&lt;"&amp;D253)+COUNTIFS($B$2:$B$501,B253,$D$2:$D$501,D253,$A$2:$A$501,"&lt;"&amp;A253)+1)</f>
        <v>0</v>
      </c>
      <c r="D253" s="46"/>
      <c r="E253" s="46"/>
      <c r="F253" s="46"/>
      <c r="G253" s="46"/>
      <c r="H253" s="46"/>
      <c r="I253" s="46"/>
      <c r="J253" s="46"/>
      <c r="K253" s="46"/>
      <c r="L253" s="46"/>
      <c r="M253" s="46" t="str">
        <f aca="false">IF(B253="","",IF(H253&lt;&gt;"Yes","No",IF(C253=SUMPRODUCT(MAX(($B$2:$B$501=B253)*($H$2:$H$501="Yes")*$C$2:$C$501)),"Yes","No")))</f>
        <v/>
      </c>
      <c r="N253" s="46" t="str">
        <f aca="false">IF(B253="","",IF(H253&lt;&gt;"Yes","Not frozen",IF(AND(J253="Yes",K253="Yes",L253="Yes"),"Complete","Incomplete")))</f>
        <v/>
      </c>
      <c r="O253" s="46" t="str">
        <f aca="false">IF(B253="","",IF(OR(F253="Simbli",F253="Shared folder"),"Yes","No"))</f>
        <v/>
      </c>
      <c r="P253" s="46"/>
    </row>
    <row r="254" customFormat="false" ht="15" hidden="false" customHeight="false" outlineLevel="0" collapsed="false">
      <c r="A254" s="46" t="s">
        <v>2580</v>
      </c>
      <c r="B254" s="46"/>
      <c r="C254" s="49" t="n">
        <f aca="false">IF(OR(B254="",D254=""),0,COUNTIFS($B$2:$B$501,B254,$D$2:$D$501,"&lt;"&amp;D254)+COUNTIFS($B$2:$B$501,B254,$D$2:$D$501,D254,$A$2:$A$501,"&lt;"&amp;A254)+1)</f>
        <v>0</v>
      </c>
      <c r="D254" s="46"/>
      <c r="E254" s="46"/>
      <c r="F254" s="46"/>
      <c r="G254" s="46"/>
      <c r="H254" s="46"/>
      <c r="I254" s="46"/>
      <c r="J254" s="46"/>
      <c r="K254" s="46"/>
      <c r="L254" s="46"/>
      <c r="M254" s="46" t="str">
        <f aca="false">IF(B254="","",IF(H254&lt;&gt;"Yes","No",IF(C254=SUMPRODUCT(MAX(($B$2:$B$501=B254)*($H$2:$H$501="Yes")*$C$2:$C$501)),"Yes","No")))</f>
        <v/>
      </c>
      <c r="N254" s="46" t="str">
        <f aca="false">IF(B254="","",IF(H254&lt;&gt;"Yes","Not frozen",IF(AND(J254="Yes",K254="Yes",L254="Yes"),"Complete","Incomplete")))</f>
        <v/>
      </c>
      <c r="O254" s="46" t="str">
        <f aca="false">IF(B254="","",IF(OR(F254="Simbli",F254="Shared folder"),"Yes","No"))</f>
        <v/>
      </c>
      <c r="P254" s="46"/>
    </row>
    <row r="255" customFormat="false" ht="15" hidden="false" customHeight="false" outlineLevel="0" collapsed="false">
      <c r="A255" s="46" t="s">
        <v>2581</v>
      </c>
      <c r="B255" s="46"/>
      <c r="C255" s="49" t="n">
        <f aca="false">IF(OR(B255="",D255=""),0,COUNTIFS($B$2:$B$501,B255,$D$2:$D$501,"&lt;"&amp;D255)+COUNTIFS($B$2:$B$501,B255,$D$2:$D$501,D255,$A$2:$A$501,"&lt;"&amp;A255)+1)</f>
        <v>0</v>
      </c>
      <c r="D255" s="46"/>
      <c r="E255" s="46"/>
      <c r="F255" s="46"/>
      <c r="G255" s="46"/>
      <c r="H255" s="46"/>
      <c r="I255" s="46"/>
      <c r="J255" s="46"/>
      <c r="K255" s="46"/>
      <c r="L255" s="46"/>
      <c r="M255" s="46" t="str">
        <f aca="false">IF(B255="","",IF(H255&lt;&gt;"Yes","No",IF(C255=SUMPRODUCT(MAX(($B$2:$B$501=B255)*($H$2:$H$501="Yes")*$C$2:$C$501)),"Yes","No")))</f>
        <v/>
      </c>
      <c r="N255" s="46" t="str">
        <f aca="false">IF(B255="","",IF(H255&lt;&gt;"Yes","Not frozen",IF(AND(J255="Yes",K255="Yes",L255="Yes"),"Complete","Incomplete")))</f>
        <v/>
      </c>
      <c r="O255" s="46" t="str">
        <f aca="false">IF(B255="","",IF(OR(F255="Simbli",F255="Shared folder"),"Yes","No"))</f>
        <v/>
      </c>
      <c r="P255" s="46"/>
    </row>
    <row r="256" customFormat="false" ht="15" hidden="false" customHeight="false" outlineLevel="0" collapsed="false">
      <c r="A256" s="46" t="s">
        <v>2582</v>
      </c>
      <c r="B256" s="46"/>
      <c r="C256" s="49" t="n">
        <f aca="false">IF(OR(B256="",D256=""),0,COUNTIFS($B$2:$B$501,B256,$D$2:$D$501,"&lt;"&amp;D256)+COUNTIFS($B$2:$B$501,B256,$D$2:$D$501,D256,$A$2:$A$501,"&lt;"&amp;A256)+1)</f>
        <v>0</v>
      </c>
      <c r="D256" s="46"/>
      <c r="E256" s="46"/>
      <c r="F256" s="46"/>
      <c r="G256" s="46"/>
      <c r="H256" s="46"/>
      <c r="I256" s="46"/>
      <c r="J256" s="46"/>
      <c r="K256" s="46"/>
      <c r="L256" s="46"/>
      <c r="M256" s="46" t="str">
        <f aca="false">IF(B256="","",IF(H256&lt;&gt;"Yes","No",IF(C256=SUMPRODUCT(MAX(($B$2:$B$501=B256)*($H$2:$H$501="Yes")*$C$2:$C$501)),"Yes","No")))</f>
        <v/>
      </c>
      <c r="N256" s="46" t="str">
        <f aca="false">IF(B256="","",IF(H256&lt;&gt;"Yes","Not frozen",IF(AND(J256="Yes",K256="Yes",L256="Yes"),"Complete","Incomplete")))</f>
        <v/>
      </c>
      <c r="O256" s="46" t="str">
        <f aca="false">IF(B256="","",IF(OR(F256="Simbli",F256="Shared folder"),"Yes","No"))</f>
        <v/>
      </c>
      <c r="P256" s="46"/>
    </row>
    <row r="257" customFormat="false" ht="15" hidden="false" customHeight="false" outlineLevel="0" collapsed="false">
      <c r="A257" s="46" t="s">
        <v>2583</v>
      </c>
      <c r="B257" s="46"/>
      <c r="C257" s="49" t="n">
        <f aca="false">IF(OR(B257="",D257=""),0,COUNTIFS($B$2:$B$501,B257,$D$2:$D$501,"&lt;"&amp;D257)+COUNTIFS($B$2:$B$501,B257,$D$2:$D$501,D257,$A$2:$A$501,"&lt;"&amp;A257)+1)</f>
        <v>0</v>
      </c>
      <c r="D257" s="46"/>
      <c r="E257" s="46"/>
      <c r="F257" s="46"/>
      <c r="G257" s="46"/>
      <c r="H257" s="46"/>
      <c r="I257" s="46"/>
      <c r="J257" s="46"/>
      <c r="K257" s="46"/>
      <c r="L257" s="46"/>
      <c r="M257" s="46" t="str">
        <f aca="false">IF(B257="","",IF(H257&lt;&gt;"Yes","No",IF(C257=SUMPRODUCT(MAX(($B$2:$B$501=B257)*($H$2:$H$501="Yes")*$C$2:$C$501)),"Yes","No")))</f>
        <v/>
      </c>
      <c r="N257" s="46" t="str">
        <f aca="false">IF(B257="","",IF(H257&lt;&gt;"Yes","Not frozen",IF(AND(J257="Yes",K257="Yes",L257="Yes"),"Complete","Incomplete")))</f>
        <v/>
      </c>
      <c r="O257" s="46" t="str">
        <f aca="false">IF(B257="","",IF(OR(F257="Simbli",F257="Shared folder"),"Yes","No"))</f>
        <v/>
      </c>
      <c r="P257" s="46"/>
    </row>
    <row r="258" customFormat="false" ht="15" hidden="false" customHeight="false" outlineLevel="0" collapsed="false">
      <c r="A258" s="46" t="s">
        <v>2584</v>
      </c>
      <c r="B258" s="46"/>
      <c r="C258" s="49" t="n">
        <f aca="false">IF(OR(B258="",D258=""),0,COUNTIFS($B$2:$B$501,B258,$D$2:$D$501,"&lt;"&amp;D258)+COUNTIFS($B$2:$B$501,B258,$D$2:$D$501,D258,$A$2:$A$501,"&lt;"&amp;A258)+1)</f>
        <v>0</v>
      </c>
      <c r="D258" s="46"/>
      <c r="E258" s="46"/>
      <c r="F258" s="46"/>
      <c r="G258" s="46"/>
      <c r="H258" s="46"/>
      <c r="I258" s="46"/>
      <c r="J258" s="46"/>
      <c r="K258" s="46"/>
      <c r="L258" s="46"/>
      <c r="M258" s="46" t="str">
        <f aca="false">IF(B258="","",IF(H258&lt;&gt;"Yes","No",IF(C258=SUMPRODUCT(MAX(($B$2:$B$501=B258)*($H$2:$H$501="Yes")*$C$2:$C$501)),"Yes","No")))</f>
        <v/>
      </c>
      <c r="N258" s="46" t="str">
        <f aca="false">IF(B258="","",IF(H258&lt;&gt;"Yes","Not frozen",IF(AND(J258="Yes",K258="Yes",L258="Yes"),"Complete","Incomplete")))</f>
        <v/>
      </c>
      <c r="O258" s="46" t="str">
        <f aca="false">IF(B258="","",IF(OR(F258="Simbli",F258="Shared folder"),"Yes","No"))</f>
        <v/>
      </c>
      <c r="P258" s="46"/>
    </row>
    <row r="259" customFormat="false" ht="15" hidden="false" customHeight="false" outlineLevel="0" collapsed="false">
      <c r="A259" s="46" t="s">
        <v>2585</v>
      </c>
      <c r="B259" s="46"/>
      <c r="C259" s="49" t="n">
        <f aca="false">IF(OR(B259="",D259=""),0,COUNTIFS($B$2:$B$501,B259,$D$2:$D$501,"&lt;"&amp;D259)+COUNTIFS($B$2:$B$501,B259,$D$2:$D$501,D259,$A$2:$A$501,"&lt;"&amp;A259)+1)</f>
        <v>0</v>
      </c>
      <c r="D259" s="46"/>
      <c r="E259" s="46"/>
      <c r="F259" s="46"/>
      <c r="G259" s="46"/>
      <c r="H259" s="46"/>
      <c r="I259" s="46"/>
      <c r="J259" s="46"/>
      <c r="K259" s="46"/>
      <c r="L259" s="46"/>
      <c r="M259" s="46" t="str">
        <f aca="false">IF(B259="","",IF(H259&lt;&gt;"Yes","No",IF(C259=SUMPRODUCT(MAX(($B$2:$B$501=B259)*($H$2:$H$501="Yes")*$C$2:$C$501)),"Yes","No")))</f>
        <v/>
      </c>
      <c r="N259" s="46" t="str">
        <f aca="false">IF(B259="","",IF(H259&lt;&gt;"Yes","Not frozen",IF(AND(J259="Yes",K259="Yes",L259="Yes"),"Complete","Incomplete")))</f>
        <v/>
      </c>
      <c r="O259" s="46" t="str">
        <f aca="false">IF(B259="","",IF(OR(F259="Simbli",F259="Shared folder"),"Yes","No"))</f>
        <v/>
      </c>
      <c r="P259" s="46"/>
    </row>
    <row r="260" customFormat="false" ht="15" hidden="false" customHeight="false" outlineLevel="0" collapsed="false">
      <c r="A260" s="46" t="s">
        <v>2586</v>
      </c>
      <c r="B260" s="46"/>
      <c r="C260" s="49" t="n">
        <f aca="false">IF(OR(B260="",D260=""),0,COUNTIFS($B$2:$B$501,B260,$D$2:$D$501,"&lt;"&amp;D260)+COUNTIFS($B$2:$B$501,B260,$D$2:$D$501,D260,$A$2:$A$501,"&lt;"&amp;A260)+1)</f>
        <v>0</v>
      </c>
      <c r="D260" s="46"/>
      <c r="E260" s="46"/>
      <c r="F260" s="46"/>
      <c r="G260" s="46"/>
      <c r="H260" s="46"/>
      <c r="I260" s="46"/>
      <c r="J260" s="46"/>
      <c r="K260" s="46"/>
      <c r="L260" s="46"/>
      <c r="M260" s="46" t="str">
        <f aca="false">IF(B260="","",IF(H260&lt;&gt;"Yes","No",IF(C260=SUMPRODUCT(MAX(($B$2:$B$501=B260)*($H$2:$H$501="Yes")*$C$2:$C$501)),"Yes","No")))</f>
        <v/>
      </c>
      <c r="N260" s="46" t="str">
        <f aca="false">IF(B260="","",IF(H260&lt;&gt;"Yes","Not frozen",IF(AND(J260="Yes",K260="Yes",L260="Yes"),"Complete","Incomplete")))</f>
        <v/>
      </c>
      <c r="O260" s="46" t="str">
        <f aca="false">IF(B260="","",IF(OR(F260="Simbli",F260="Shared folder"),"Yes","No"))</f>
        <v/>
      </c>
      <c r="P260" s="46"/>
    </row>
    <row r="261" customFormat="false" ht="15" hidden="false" customHeight="false" outlineLevel="0" collapsed="false">
      <c r="A261" s="46" t="s">
        <v>2587</v>
      </c>
      <c r="B261" s="46"/>
      <c r="C261" s="49" t="n">
        <f aca="false">IF(OR(B261="",D261=""),0,COUNTIFS($B$2:$B$501,B261,$D$2:$D$501,"&lt;"&amp;D261)+COUNTIFS($B$2:$B$501,B261,$D$2:$D$501,D261,$A$2:$A$501,"&lt;"&amp;A261)+1)</f>
        <v>0</v>
      </c>
      <c r="D261" s="46"/>
      <c r="E261" s="46"/>
      <c r="F261" s="46"/>
      <c r="G261" s="46"/>
      <c r="H261" s="46"/>
      <c r="I261" s="46"/>
      <c r="J261" s="46"/>
      <c r="K261" s="46"/>
      <c r="L261" s="46"/>
      <c r="M261" s="46" t="str">
        <f aca="false">IF(B261="","",IF(H261&lt;&gt;"Yes","No",IF(C261=SUMPRODUCT(MAX(($B$2:$B$501=B261)*($H$2:$H$501="Yes")*$C$2:$C$501)),"Yes","No")))</f>
        <v/>
      </c>
      <c r="N261" s="46" t="str">
        <f aca="false">IF(B261="","",IF(H261&lt;&gt;"Yes","Not frozen",IF(AND(J261="Yes",K261="Yes",L261="Yes"),"Complete","Incomplete")))</f>
        <v/>
      </c>
      <c r="O261" s="46" t="str">
        <f aca="false">IF(B261="","",IF(OR(F261="Simbli",F261="Shared folder"),"Yes","No"))</f>
        <v/>
      </c>
      <c r="P261" s="46"/>
    </row>
    <row r="262" customFormat="false" ht="15" hidden="false" customHeight="false" outlineLevel="0" collapsed="false">
      <c r="A262" s="46" t="s">
        <v>2588</v>
      </c>
      <c r="B262" s="46"/>
      <c r="C262" s="49" t="n">
        <f aca="false">IF(OR(B262="",D262=""),0,COUNTIFS($B$2:$B$501,B262,$D$2:$D$501,"&lt;"&amp;D262)+COUNTIFS($B$2:$B$501,B262,$D$2:$D$501,D262,$A$2:$A$501,"&lt;"&amp;A262)+1)</f>
        <v>0</v>
      </c>
      <c r="D262" s="46"/>
      <c r="E262" s="46"/>
      <c r="F262" s="46"/>
      <c r="G262" s="46"/>
      <c r="H262" s="46"/>
      <c r="I262" s="46"/>
      <c r="J262" s="46"/>
      <c r="K262" s="46"/>
      <c r="L262" s="46"/>
      <c r="M262" s="46" t="str">
        <f aca="false">IF(B262="","",IF(H262&lt;&gt;"Yes","No",IF(C262=SUMPRODUCT(MAX(($B$2:$B$501=B262)*($H$2:$H$501="Yes")*$C$2:$C$501)),"Yes","No")))</f>
        <v/>
      </c>
      <c r="N262" s="46" t="str">
        <f aca="false">IF(B262="","",IF(H262&lt;&gt;"Yes","Not frozen",IF(AND(J262="Yes",K262="Yes",L262="Yes"),"Complete","Incomplete")))</f>
        <v/>
      </c>
      <c r="O262" s="46" t="str">
        <f aca="false">IF(B262="","",IF(OR(F262="Simbli",F262="Shared folder"),"Yes","No"))</f>
        <v/>
      </c>
      <c r="P262" s="46"/>
    </row>
    <row r="263" customFormat="false" ht="15" hidden="false" customHeight="false" outlineLevel="0" collapsed="false">
      <c r="A263" s="46" t="s">
        <v>2589</v>
      </c>
      <c r="B263" s="46"/>
      <c r="C263" s="49" t="n">
        <f aca="false">IF(OR(B263="",D263=""),0,COUNTIFS($B$2:$B$501,B263,$D$2:$D$501,"&lt;"&amp;D263)+COUNTIFS($B$2:$B$501,B263,$D$2:$D$501,D263,$A$2:$A$501,"&lt;"&amp;A263)+1)</f>
        <v>0</v>
      </c>
      <c r="D263" s="46"/>
      <c r="E263" s="46"/>
      <c r="F263" s="46"/>
      <c r="G263" s="46"/>
      <c r="H263" s="46"/>
      <c r="I263" s="46"/>
      <c r="J263" s="46"/>
      <c r="K263" s="46"/>
      <c r="L263" s="46"/>
      <c r="M263" s="46" t="str">
        <f aca="false">IF(B263="","",IF(H263&lt;&gt;"Yes","No",IF(C263=SUMPRODUCT(MAX(($B$2:$B$501=B263)*($H$2:$H$501="Yes")*$C$2:$C$501)),"Yes","No")))</f>
        <v/>
      </c>
      <c r="N263" s="46" t="str">
        <f aca="false">IF(B263="","",IF(H263&lt;&gt;"Yes","Not frozen",IF(AND(J263="Yes",K263="Yes",L263="Yes"),"Complete","Incomplete")))</f>
        <v/>
      </c>
      <c r="O263" s="46" t="str">
        <f aca="false">IF(B263="","",IF(OR(F263="Simbli",F263="Shared folder"),"Yes","No"))</f>
        <v/>
      </c>
      <c r="P263" s="46"/>
    </row>
    <row r="264" customFormat="false" ht="15" hidden="false" customHeight="false" outlineLevel="0" collapsed="false">
      <c r="A264" s="46" t="s">
        <v>2590</v>
      </c>
      <c r="B264" s="46"/>
      <c r="C264" s="49" t="n">
        <f aca="false">IF(OR(B264="",D264=""),0,COUNTIFS($B$2:$B$501,B264,$D$2:$D$501,"&lt;"&amp;D264)+COUNTIFS($B$2:$B$501,B264,$D$2:$D$501,D264,$A$2:$A$501,"&lt;"&amp;A264)+1)</f>
        <v>0</v>
      </c>
      <c r="D264" s="46"/>
      <c r="E264" s="46"/>
      <c r="F264" s="46"/>
      <c r="G264" s="46"/>
      <c r="H264" s="46"/>
      <c r="I264" s="46"/>
      <c r="J264" s="46"/>
      <c r="K264" s="46"/>
      <c r="L264" s="46"/>
      <c r="M264" s="46" t="str">
        <f aca="false">IF(B264="","",IF(H264&lt;&gt;"Yes","No",IF(C264=SUMPRODUCT(MAX(($B$2:$B$501=B264)*($H$2:$H$501="Yes")*$C$2:$C$501)),"Yes","No")))</f>
        <v/>
      </c>
      <c r="N264" s="46" t="str">
        <f aca="false">IF(B264="","",IF(H264&lt;&gt;"Yes","Not frozen",IF(AND(J264="Yes",K264="Yes",L264="Yes"),"Complete","Incomplete")))</f>
        <v/>
      </c>
      <c r="O264" s="46" t="str">
        <f aca="false">IF(B264="","",IF(OR(F264="Simbli",F264="Shared folder"),"Yes","No"))</f>
        <v/>
      </c>
      <c r="P264" s="46"/>
    </row>
    <row r="265" customFormat="false" ht="15" hidden="false" customHeight="false" outlineLevel="0" collapsed="false">
      <c r="A265" s="46" t="s">
        <v>2591</v>
      </c>
      <c r="B265" s="46"/>
      <c r="C265" s="49" t="n">
        <f aca="false">IF(OR(B265="",D265=""),0,COUNTIFS($B$2:$B$501,B265,$D$2:$D$501,"&lt;"&amp;D265)+COUNTIFS($B$2:$B$501,B265,$D$2:$D$501,D265,$A$2:$A$501,"&lt;"&amp;A265)+1)</f>
        <v>0</v>
      </c>
      <c r="D265" s="46"/>
      <c r="E265" s="46"/>
      <c r="F265" s="46"/>
      <c r="G265" s="46"/>
      <c r="H265" s="46"/>
      <c r="I265" s="46"/>
      <c r="J265" s="46"/>
      <c r="K265" s="46"/>
      <c r="L265" s="46"/>
      <c r="M265" s="46" t="str">
        <f aca="false">IF(B265="","",IF(H265&lt;&gt;"Yes","No",IF(C265=SUMPRODUCT(MAX(($B$2:$B$501=B265)*($H$2:$H$501="Yes")*$C$2:$C$501)),"Yes","No")))</f>
        <v/>
      </c>
      <c r="N265" s="46" t="str">
        <f aca="false">IF(B265="","",IF(H265&lt;&gt;"Yes","Not frozen",IF(AND(J265="Yes",K265="Yes",L265="Yes"),"Complete","Incomplete")))</f>
        <v/>
      </c>
      <c r="O265" s="46" t="str">
        <f aca="false">IF(B265="","",IF(OR(F265="Simbli",F265="Shared folder"),"Yes","No"))</f>
        <v/>
      </c>
      <c r="P265" s="46"/>
    </row>
    <row r="266" customFormat="false" ht="15" hidden="false" customHeight="false" outlineLevel="0" collapsed="false">
      <c r="A266" s="46" t="s">
        <v>2592</v>
      </c>
      <c r="B266" s="46"/>
      <c r="C266" s="49" t="n">
        <f aca="false">IF(OR(B266="",D266=""),0,COUNTIFS($B$2:$B$501,B266,$D$2:$D$501,"&lt;"&amp;D266)+COUNTIFS($B$2:$B$501,B266,$D$2:$D$501,D266,$A$2:$A$501,"&lt;"&amp;A266)+1)</f>
        <v>0</v>
      </c>
      <c r="D266" s="46"/>
      <c r="E266" s="46"/>
      <c r="F266" s="46"/>
      <c r="G266" s="46"/>
      <c r="H266" s="46"/>
      <c r="I266" s="46"/>
      <c r="J266" s="46"/>
      <c r="K266" s="46"/>
      <c r="L266" s="46"/>
      <c r="M266" s="46" t="str">
        <f aca="false">IF(B266="","",IF(H266&lt;&gt;"Yes","No",IF(C266=SUMPRODUCT(MAX(($B$2:$B$501=B266)*($H$2:$H$501="Yes")*$C$2:$C$501)),"Yes","No")))</f>
        <v/>
      </c>
      <c r="N266" s="46" t="str">
        <f aca="false">IF(B266="","",IF(H266&lt;&gt;"Yes","Not frozen",IF(AND(J266="Yes",K266="Yes",L266="Yes"),"Complete","Incomplete")))</f>
        <v/>
      </c>
      <c r="O266" s="46" t="str">
        <f aca="false">IF(B266="","",IF(OR(F266="Simbli",F266="Shared folder"),"Yes","No"))</f>
        <v/>
      </c>
      <c r="P266" s="46"/>
    </row>
    <row r="267" customFormat="false" ht="15" hidden="false" customHeight="false" outlineLevel="0" collapsed="false">
      <c r="A267" s="46" t="s">
        <v>2593</v>
      </c>
      <c r="B267" s="46"/>
      <c r="C267" s="49" t="n">
        <f aca="false">IF(OR(B267="",D267=""),0,COUNTIFS($B$2:$B$501,B267,$D$2:$D$501,"&lt;"&amp;D267)+COUNTIFS($B$2:$B$501,B267,$D$2:$D$501,D267,$A$2:$A$501,"&lt;"&amp;A267)+1)</f>
        <v>0</v>
      </c>
      <c r="D267" s="46"/>
      <c r="E267" s="46"/>
      <c r="F267" s="46"/>
      <c r="G267" s="46"/>
      <c r="H267" s="46"/>
      <c r="I267" s="46"/>
      <c r="J267" s="46"/>
      <c r="K267" s="46"/>
      <c r="L267" s="46"/>
      <c r="M267" s="46" t="str">
        <f aca="false">IF(B267="","",IF(H267&lt;&gt;"Yes","No",IF(C267=SUMPRODUCT(MAX(($B$2:$B$501=B267)*($H$2:$H$501="Yes")*$C$2:$C$501)),"Yes","No")))</f>
        <v/>
      </c>
      <c r="N267" s="46" t="str">
        <f aca="false">IF(B267="","",IF(H267&lt;&gt;"Yes","Not frozen",IF(AND(J267="Yes",K267="Yes",L267="Yes"),"Complete","Incomplete")))</f>
        <v/>
      </c>
      <c r="O267" s="46" t="str">
        <f aca="false">IF(B267="","",IF(OR(F267="Simbli",F267="Shared folder"),"Yes","No"))</f>
        <v/>
      </c>
      <c r="P267" s="46"/>
    </row>
    <row r="268" customFormat="false" ht="15" hidden="false" customHeight="false" outlineLevel="0" collapsed="false">
      <c r="A268" s="46" t="s">
        <v>2594</v>
      </c>
      <c r="B268" s="46"/>
      <c r="C268" s="49" t="n">
        <f aca="false">IF(OR(B268="",D268=""),0,COUNTIFS($B$2:$B$501,B268,$D$2:$D$501,"&lt;"&amp;D268)+COUNTIFS($B$2:$B$501,B268,$D$2:$D$501,D268,$A$2:$A$501,"&lt;"&amp;A268)+1)</f>
        <v>0</v>
      </c>
      <c r="D268" s="46"/>
      <c r="E268" s="46"/>
      <c r="F268" s="46"/>
      <c r="G268" s="46"/>
      <c r="H268" s="46"/>
      <c r="I268" s="46"/>
      <c r="J268" s="46"/>
      <c r="K268" s="46"/>
      <c r="L268" s="46"/>
      <c r="M268" s="46" t="str">
        <f aca="false">IF(B268="","",IF(H268&lt;&gt;"Yes","No",IF(C268=SUMPRODUCT(MAX(($B$2:$B$501=B268)*($H$2:$H$501="Yes")*$C$2:$C$501)),"Yes","No")))</f>
        <v/>
      </c>
      <c r="N268" s="46" t="str">
        <f aca="false">IF(B268="","",IF(H268&lt;&gt;"Yes","Not frozen",IF(AND(J268="Yes",K268="Yes",L268="Yes"),"Complete","Incomplete")))</f>
        <v/>
      </c>
      <c r="O268" s="46" t="str">
        <f aca="false">IF(B268="","",IF(OR(F268="Simbli",F268="Shared folder"),"Yes","No"))</f>
        <v/>
      </c>
      <c r="P268" s="46"/>
    </row>
    <row r="269" customFormat="false" ht="15" hidden="false" customHeight="false" outlineLevel="0" collapsed="false">
      <c r="A269" s="46" t="s">
        <v>2595</v>
      </c>
      <c r="B269" s="46"/>
      <c r="C269" s="49" t="n">
        <f aca="false">IF(OR(B269="",D269=""),0,COUNTIFS($B$2:$B$501,B269,$D$2:$D$501,"&lt;"&amp;D269)+COUNTIFS($B$2:$B$501,B269,$D$2:$D$501,D269,$A$2:$A$501,"&lt;"&amp;A269)+1)</f>
        <v>0</v>
      </c>
      <c r="D269" s="46"/>
      <c r="E269" s="46"/>
      <c r="F269" s="46"/>
      <c r="G269" s="46"/>
      <c r="H269" s="46"/>
      <c r="I269" s="46"/>
      <c r="J269" s="46"/>
      <c r="K269" s="46"/>
      <c r="L269" s="46"/>
      <c r="M269" s="46" t="str">
        <f aca="false">IF(B269="","",IF(H269&lt;&gt;"Yes","No",IF(C269=SUMPRODUCT(MAX(($B$2:$B$501=B269)*($H$2:$H$501="Yes")*$C$2:$C$501)),"Yes","No")))</f>
        <v/>
      </c>
      <c r="N269" s="46" t="str">
        <f aca="false">IF(B269="","",IF(H269&lt;&gt;"Yes","Not frozen",IF(AND(J269="Yes",K269="Yes",L269="Yes"),"Complete","Incomplete")))</f>
        <v/>
      </c>
      <c r="O269" s="46" t="str">
        <f aca="false">IF(B269="","",IF(OR(F269="Simbli",F269="Shared folder"),"Yes","No"))</f>
        <v/>
      </c>
      <c r="P269" s="46"/>
    </row>
    <row r="270" customFormat="false" ht="15" hidden="false" customHeight="false" outlineLevel="0" collapsed="false">
      <c r="A270" s="46" t="s">
        <v>2596</v>
      </c>
      <c r="B270" s="46"/>
      <c r="C270" s="49" t="n">
        <f aca="false">IF(OR(B270="",D270=""),0,COUNTIFS($B$2:$B$501,B270,$D$2:$D$501,"&lt;"&amp;D270)+COUNTIFS($B$2:$B$501,B270,$D$2:$D$501,D270,$A$2:$A$501,"&lt;"&amp;A270)+1)</f>
        <v>0</v>
      </c>
      <c r="D270" s="46"/>
      <c r="E270" s="46"/>
      <c r="F270" s="46"/>
      <c r="G270" s="46"/>
      <c r="H270" s="46"/>
      <c r="I270" s="46"/>
      <c r="J270" s="46"/>
      <c r="K270" s="46"/>
      <c r="L270" s="46"/>
      <c r="M270" s="46" t="str">
        <f aca="false">IF(B270="","",IF(H270&lt;&gt;"Yes","No",IF(C270=SUMPRODUCT(MAX(($B$2:$B$501=B270)*($H$2:$H$501="Yes")*$C$2:$C$501)),"Yes","No")))</f>
        <v/>
      </c>
      <c r="N270" s="46" t="str">
        <f aca="false">IF(B270="","",IF(H270&lt;&gt;"Yes","Not frozen",IF(AND(J270="Yes",K270="Yes",L270="Yes"),"Complete","Incomplete")))</f>
        <v/>
      </c>
      <c r="O270" s="46" t="str">
        <f aca="false">IF(B270="","",IF(OR(F270="Simbli",F270="Shared folder"),"Yes","No"))</f>
        <v/>
      </c>
      <c r="P270" s="46"/>
    </row>
    <row r="271" customFormat="false" ht="15" hidden="false" customHeight="false" outlineLevel="0" collapsed="false">
      <c r="A271" s="46" t="s">
        <v>2597</v>
      </c>
      <c r="B271" s="46"/>
      <c r="C271" s="49" t="n">
        <f aca="false">IF(OR(B271="",D271=""),0,COUNTIFS($B$2:$B$501,B271,$D$2:$D$501,"&lt;"&amp;D271)+COUNTIFS($B$2:$B$501,B271,$D$2:$D$501,D271,$A$2:$A$501,"&lt;"&amp;A271)+1)</f>
        <v>0</v>
      </c>
      <c r="D271" s="46"/>
      <c r="E271" s="46"/>
      <c r="F271" s="46"/>
      <c r="G271" s="46"/>
      <c r="H271" s="46"/>
      <c r="I271" s="46"/>
      <c r="J271" s="46"/>
      <c r="K271" s="46"/>
      <c r="L271" s="46"/>
      <c r="M271" s="46" t="str">
        <f aca="false">IF(B271="","",IF(H271&lt;&gt;"Yes","No",IF(C271=SUMPRODUCT(MAX(($B$2:$B$501=B271)*($H$2:$H$501="Yes")*$C$2:$C$501)),"Yes","No")))</f>
        <v/>
      </c>
      <c r="N271" s="46" t="str">
        <f aca="false">IF(B271="","",IF(H271&lt;&gt;"Yes","Not frozen",IF(AND(J271="Yes",K271="Yes",L271="Yes"),"Complete","Incomplete")))</f>
        <v/>
      </c>
      <c r="O271" s="46" t="str">
        <f aca="false">IF(B271="","",IF(OR(F271="Simbli",F271="Shared folder"),"Yes","No"))</f>
        <v/>
      </c>
      <c r="P271" s="46"/>
    </row>
    <row r="272" customFormat="false" ht="15" hidden="false" customHeight="false" outlineLevel="0" collapsed="false">
      <c r="A272" s="46" t="s">
        <v>2598</v>
      </c>
      <c r="B272" s="46"/>
      <c r="C272" s="49" t="n">
        <f aca="false">IF(OR(B272="",D272=""),0,COUNTIFS($B$2:$B$501,B272,$D$2:$D$501,"&lt;"&amp;D272)+COUNTIFS($B$2:$B$501,B272,$D$2:$D$501,D272,$A$2:$A$501,"&lt;"&amp;A272)+1)</f>
        <v>0</v>
      </c>
      <c r="D272" s="46"/>
      <c r="E272" s="46"/>
      <c r="F272" s="46"/>
      <c r="G272" s="46"/>
      <c r="H272" s="46"/>
      <c r="I272" s="46"/>
      <c r="J272" s="46"/>
      <c r="K272" s="46"/>
      <c r="L272" s="46"/>
      <c r="M272" s="46" t="str">
        <f aca="false">IF(B272="","",IF(H272&lt;&gt;"Yes","No",IF(C272=SUMPRODUCT(MAX(($B$2:$B$501=B272)*($H$2:$H$501="Yes")*$C$2:$C$501)),"Yes","No")))</f>
        <v/>
      </c>
      <c r="N272" s="46" t="str">
        <f aca="false">IF(B272="","",IF(H272&lt;&gt;"Yes","Not frozen",IF(AND(J272="Yes",K272="Yes",L272="Yes"),"Complete","Incomplete")))</f>
        <v/>
      </c>
      <c r="O272" s="46" t="str">
        <f aca="false">IF(B272="","",IF(OR(F272="Simbli",F272="Shared folder"),"Yes","No"))</f>
        <v/>
      </c>
      <c r="P272" s="46"/>
    </row>
    <row r="273" customFormat="false" ht="15" hidden="false" customHeight="false" outlineLevel="0" collapsed="false">
      <c r="A273" s="46" t="s">
        <v>2599</v>
      </c>
      <c r="B273" s="46"/>
      <c r="C273" s="49" t="n">
        <f aca="false">IF(OR(B273="",D273=""),0,COUNTIFS($B$2:$B$501,B273,$D$2:$D$501,"&lt;"&amp;D273)+COUNTIFS($B$2:$B$501,B273,$D$2:$D$501,D273,$A$2:$A$501,"&lt;"&amp;A273)+1)</f>
        <v>0</v>
      </c>
      <c r="D273" s="46"/>
      <c r="E273" s="46"/>
      <c r="F273" s="46"/>
      <c r="G273" s="46"/>
      <c r="H273" s="46"/>
      <c r="I273" s="46"/>
      <c r="J273" s="46"/>
      <c r="K273" s="46"/>
      <c r="L273" s="46"/>
      <c r="M273" s="46" t="str">
        <f aca="false">IF(B273="","",IF(H273&lt;&gt;"Yes","No",IF(C273=SUMPRODUCT(MAX(($B$2:$B$501=B273)*($H$2:$H$501="Yes")*$C$2:$C$501)),"Yes","No")))</f>
        <v/>
      </c>
      <c r="N273" s="46" t="str">
        <f aca="false">IF(B273="","",IF(H273&lt;&gt;"Yes","Not frozen",IF(AND(J273="Yes",K273="Yes",L273="Yes"),"Complete","Incomplete")))</f>
        <v/>
      </c>
      <c r="O273" s="46" t="str">
        <f aca="false">IF(B273="","",IF(OR(F273="Simbli",F273="Shared folder"),"Yes","No"))</f>
        <v/>
      </c>
      <c r="P273" s="46"/>
    </row>
    <row r="274" customFormat="false" ht="15" hidden="false" customHeight="false" outlineLevel="0" collapsed="false">
      <c r="A274" s="46" t="s">
        <v>2600</v>
      </c>
      <c r="B274" s="46"/>
      <c r="C274" s="49" t="n">
        <f aca="false">IF(OR(B274="",D274=""),0,COUNTIFS($B$2:$B$501,B274,$D$2:$D$501,"&lt;"&amp;D274)+COUNTIFS($B$2:$B$501,B274,$D$2:$D$501,D274,$A$2:$A$501,"&lt;"&amp;A274)+1)</f>
        <v>0</v>
      </c>
      <c r="D274" s="46"/>
      <c r="E274" s="46"/>
      <c r="F274" s="46"/>
      <c r="G274" s="46"/>
      <c r="H274" s="46"/>
      <c r="I274" s="46"/>
      <c r="J274" s="46"/>
      <c r="K274" s="46"/>
      <c r="L274" s="46"/>
      <c r="M274" s="46" t="str">
        <f aca="false">IF(B274="","",IF(H274&lt;&gt;"Yes","No",IF(C274=SUMPRODUCT(MAX(($B$2:$B$501=B274)*($H$2:$H$501="Yes")*$C$2:$C$501)),"Yes","No")))</f>
        <v/>
      </c>
      <c r="N274" s="46" t="str">
        <f aca="false">IF(B274="","",IF(H274&lt;&gt;"Yes","Not frozen",IF(AND(J274="Yes",K274="Yes",L274="Yes"),"Complete","Incomplete")))</f>
        <v/>
      </c>
      <c r="O274" s="46" t="str">
        <f aca="false">IF(B274="","",IF(OR(F274="Simbli",F274="Shared folder"),"Yes","No"))</f>
        <v/>
      </c>
      <c r="P274" s="46"/>
    </row>
    <row r="275" customFormat="false" ht="15" hidden="false" customHeight="false" outlineLevel="0" collapsed="false">
      <c r="A275" s="46" t="s">
        <v>2601</v>
      </c>
      <c r="B275" s="46"/>
      <c r="C275" s="49" t="n">
        <f aca="false">IF(OR(B275="",D275=""),0,COUNTIFS($B$2:$B$501,B275,$D$2:$D$501,"&lt;"&amp;D275)+COUNTIFS($B$2:$B$501,B275,$D$2:$D$501,D275,$A$2:$A$501,"&lt;"&amp;A275)+1)</f>
        <v>0</v>
      </c>
      <c r="D275" s="46"/>
      <c r="E275" s="46"/>
      <c r="F275" s="46"/>
      <c r="G275" s="46"/>
      <c r="H275" s="46"/>
      <c r="I275" s="46"/>
      <c r="J275" s="46"/>
      <c r="K275" s="46"/>
      <c r="L275" s="46"/>
      <c r="M275" s="46" t="str">
        <f aca="false">IF(B275="","",IF(H275&lt;&gt;"Yes","No",IF(C275=SUMPRODUCT(MAX(($B$2:$B$501=B275)*($H$2:$H$501="Yes")*$C$2:$C$501)),"Yes","No")))</f>
        <v/>
      </c>
      <c r="N275" s="46" t="str">
        <f aca="false">IF(B275="","",IF(H275&lt;&gt;"Yes","Not frozen",IF(AND(J275="Yes",K275="Yes",L275="Yes"),"Complete","Incomplete")))</f>
        <v/>
      </c>
      <c r="O275" s="46" t="str">
        <f aca="false">IF(B275="","",IF(OR(F275="Simbli",F275="Shared folder"),"Yes","No"))</f>
        <v/>
      </c>
      <c r="P275" s="46"/>
    </row>
    <row r="276" customFormat="false" ht="15" hidden="false" customHeight="false" outlineLevel="0" collapsed="false">
      <c r="A276" s="46" t="s">
        <v>2602</v>
      </c>
      <c r="B276" s="46"/>
      <c r="C276" s="49" t="n">
        <f aca="false">IF(OR(B276="",D276=""),0,COUNTIFS($B$2:$B$501,B276,$D$2:$D$501,"&lt;"&amp;D276)+COUNTIFS($B$2:$B$501,B276,$D$2:$D$501,D276,$A$2:$A$501,"&lt;"&amp;A276)+1)</f>
        <v>0</v>
      </c>
      <c r="D276" s="46"/>
      <c r="E276" s="46"/>
      <c r="F276" s="46"/>
      <c r="G276" s="46"/>
      <c r="H276" s="46"/>
      <c r="I276" s="46"/>
      <c r="J276" s="46"/>
      <c r="K276" s="46"/>
      <c r="L276" s="46"/>
      <c r="M276" s="46" t="str">
        <f aca="false">IF(B276="","",IF(H276&lt;&gt;"Yes","No",IF(C276=SUMPRODUCT(MAX(($B$2:$B$501=B276)*($H$2:$H$501="Yes")*$C$2:$C$501)),"Yes","No")))</f>
        <v/>
      </c>
      <c r="N276" s="46" t="str">
        <f aca="false">IF(B276="","",IF(H276&lt;&gt;"Yes","Not frozen",IF(AND(J276="Yes",K276="Yes",L276="Yes"),"Complete","Incomplete")))</f>
        <v/>
      </c>
      <c r="O276" s="46" t="str">
        <f aca="false">IF(B276="","",IF(OR(F276="Simbli",F276="Shared folder"),"Yes","No"))</f>
        <v/>
      </c>
      <c r="P276" s="46"/>
    </row>
    <row r="277" customFormat="false" ht="15" hidden="false" customHeight="false" outlineLevel="0" collapsed="false">
      <c r="A277" s="46" t="s">
        <v>2603</v>
      </c>
      <c r="B277" s="46"/>
      <c r="C277" s="49" t="n">
        <f aca="false">IF(OR(B277="",D277=""),0,COUNTIFS($B$2:$B$501,B277,$D$2:$D$501,"&lt;"&amp;D277)+COUNTIFS($B$2:$B$501,B277,$D$2:$D$501,D277,$A$2:$A$501,"&lt;"&amp;A277)+1)</f>
        <v>0</v>
      </c>
      <c r="D277" s="46"/>
      <c r="E277" s="46"/>
      <c r="F277" s="46"/>
      <c r="G277" s="46"/>
      <c r="H277" s="46"/>
      <c r="I277" s="46"/>
      <c r="J277" s="46"/>
      <c r="K277" s="46"/>
      <c r="L277" s="46"/>
      <c r="M277" s="46" t="str">
        <f aca="false">IF(B277="","",IF(H277&lt;&gt;"Yes","No",IF(C277=SUMPRODUCT(MAX(($B$2:$B$501=B277)*($H$2:$H$501="Yes")*$C$2:$C$501)),"Yes","No")))</f>
        <v/>
      </c>
      <c r="N277" s="46" t="str">
        <f aca="false">IF(B277="","",IF(H277&lt;&gt;"Yes","Not frozen",IF(AND(J277="Yes",K277="Yes",L277="Yes"),"Complete","Incomplete")))</f>
        <v/>
      </c>
      <c r="O277" s="46" t="str">
        <f aca="false">IF(B277="","",IF(OR(F277="Simbli",F277="Shared folder"),"Yes","No"))</f>
        <v/>
      </c>
      <c r="P277" s="46"/>
    </row>
    <row r="278" customFormat="false" ht="15" hidden="false" customHeight="false" outlineLevel="0" collapsed="false">
      <c r="A278" s="46" t="s">
        <v>2604</v>
      </c>
      <c r="B278" s="46"/>
      <c r="C278" s="49" t="n">
        <f aca="false">IF(OR(B278="",D278=""),0,COUNTIFS($B$2:$B$501,B278,$D$2:$D$501,"&lt;"&amp;D278)+COUNTIFS($B$2:$B$501,B278,$D$2:$D$501,D278,$A$2:$A$501,"&lt;"&amp;A278)+1)</f>
        <v>0</v>
      </c>
      <c r="D278" s="46"/>
      <c r="E278" s="46"/>
      <c r="F278" s="46"/>
      <c r="G278" s="46"/>
      <c r="H278" s="46"/>
      <c r="I278" s="46"/>
      <c r="J278" s="46"/>
      <c r="K278" s="46"/>
      <c r="L278" s="46"/>
      <c r="M278" s="46" t="str">
        <f aca="false">IF(B278="","",IF(H278&lt;&gt;"Yes","No",IF(C278=SUMPRODUCT(MAX(($B$2:$B$501=B278)*($H$2:$H$501="Yes")*$C$2:$C$501)),"Yes","No")))</f>
        <v/>
      </c>
      <c r="N278" s="46" t="str">
        <f aca="false">IF(B278="","",IF(H278&lt;&gt;"Yes","Not frozen",IF(AND(J278="Yes",K278="Yes",L278="Yes"),"Complete","Incomplete")))</f>
        <v/>
      </c>
      <c r="O278" s="46" t="str">
        <f aca="false">IF(B278="","",IF(OR(F278="Simbli",F278="Shared folder"),"Yes","No"))</f>
        <v/>
      </c>
      <c r="P278" s="46"/>
    </row>
    <row r="279" customFormat="false" ht="15" hidden="false" customHeight="false" outlineLevel="0" collapsed="false">
      <c r="A279" s="46" t="s">
        <v>2605</v>
      </c>
      <c r="B279" s="46"/>
      <c r="C279" s="49" t="n">
        <f aca="false">IF(OR(B279="",D279=""),0,COUNTIFS($B$2:$B$501,B279,$D$2:$D$501,"&lt;"&amp;D279)+COUNTIFS($B$2:$B$501,B279,$D$2:$D$501,D279,$A$2:$A$501,"&lt;"&amp;A279)+1)</f>
        <v>0</v>
      </c>
      <c r="D279" s="46"/>
      <c r="E279" s="46"/>
      <c r="F279" s="46"/>
      <c r="G279" s="46"/>
      <c r="H279" s="46"/>
      <c r="I279" s="46"/>
      <c r="J279" s="46"/>
      <c r="K279" s="46"/>
      <c r="L279" s="46"/>
      <c r="M279" s="46" t="str">
        <f aca="false">IF(B279="","",IF(H279&lt;&gt;"Yes","No",IF(C279=SUMPRODUCT(MAX(($B$2:$B$501=B279)*($H$2:$H$501="Yes")*$C$2:$C$501)),"Yes","No")))</f>
        <v/>
      </c>
      <c r="N279" s="46" t="str">
        <f aca="false">IF(B279="","",IF(H279&lt;&gt;"Yes","Not frozen",IF(AND(J279="Yes",K279="Yes",L279="Yes"),"Complete","Incomplete")))</f>
        <v/>
      </c>
      <c r="O279" s="46" t="str">
        <f aca="false">IF(B279="","",IF(OR(F279="Simbli",F279="Shared folder"),"Yes","No"))</f>
        <v/>
      </c>
      <c r="P279" s="46"/>
    </row>
    <row r="280" customFormat="false" ht="15" hidden="false" customHeight="false" outlineLevel="0" collapsed="false">
      <c r="A280" s="46" t="s">
        <v>2606</v>
      </c>
      <c r="B280" s="46"/>
      <c r="C280" s="49" t="n">
        <f aca="false">IF(OR(B280="",D280=""),0,COUNTIFS($B$2:$B$501,B280,$D$2:$D$501,"&lt;"&amp;D280)+COUNTIFS($B$2:$B$501,B280,$D$2:$D$501,D280,$A$2:$A$501,"&lt;"&amp;A280)+1)</f>
        <v>0</v>
      </c>
      <c r="D280" s="46"/>
      <c r="E280" s="46"/>
      <c r="F280" s="46"/>
      <c r="G280" s="46"/>
      <c r="H280" s="46"/>
      <c r="I280" s="46"/>
      <c r="J280" s="46"/>
      <c r="K280" s="46"/>
      <c r="L280" s="46"/>
      <c r="M280" s="46" t="str">
        <f aca="false">IF(B280="","",IF(H280&lt;&gt;"Yes","No",IF(C280=SUMPRODUCT(MAX(($B$2:$B$501=B280)*($H$2:$H$501="Yes")*$C$2:$C$501)),"Yes","No")))</f>
        <v/>
      </c>
      <c r="N280" s="46" t="str">
        <f aca="false">IF(B280="","",IF(H280&lt;&gt;"Yes","Not frozen",IF(AND(J280="Yes",K280="Yes",L280="Yes"),"Complete","Incomplete")))</f>
        <v/>
      </c>
      <c r="O280" s="46" t="str">
        <f aca="false">IF(B280="","",IF(OR(F280="Simbli",F280="Shared folder"),"Yes","No"))</f>
        <v/>
      </c>
      <c r="P280" s="46"/>
    </row>
    <row r="281" customFormat="false" ht="15" hidden="false" customHeight="false" outlineLevel="0" collapsed="false">
      <c r="A281" s="46" t="s">
        <v>2607</v>
      </c>
      <c r="B281" s="46"/>
      <c r="C281" s="49" t="n">
        <f aca="false">IF(OR(B281="",D281=""),0,COUNTIFS($B$2:$B$501,B281,$D$2:$D$501,"&lt;"&amp;D281)+COUNTIFS($B$2:$B$501,B281,$D$2:$D$501,D281,$A$2:$A$501,"&lt;"&amp;A281)+1)</f>
        <v>0</v>
      </c>
      <c r="D281" s="46"/>
      <c r="E281" s="46"/>
      <c r="F281" s="46"/>
      <c r="G281" s="46"/>
      <c r="H281" s="46"/>
      <c r="I281" s="46"/>
      <c r="J281" s="46"/>
      <c r="K281" s="46"/>
      <c r="L281" s="46"/>
      <c r="M281" s="46" t="str">
        <f aca="false">IF(B281="","",IF(H281&lt;&gt;"Yes","No",IF(C281=SUMPRODUCT(MAX(($B$2:$B$501=B281)*($H$2:$H$501="Yes")*$C$2:$C$501)),"Yes","No")))</f>
        <v/>
      </c>
      <c r="N281" s="46" t="str">
        <f aca="false">IF(B281="","",IF(H281&lt;&gt;"Yes","Not frozen",IF(AND(J281="Yes",K281="Yes",L281="Yes"),"Complete","Incomplete")))</f>
        <v/>
      </c>
      <c r="O281" s="46" t="str">
        <f aca="false">IF(B281="","",IF(OR(F281="Simbli",F281="Shared folder"),"Yes","No"))</f>
        <v/>
      </c>
      <c r="P281" s="46"/>
    </row>
    <row r="282" customFormat="false" ht="15" hidden="false" customHeight="false" outlineLevel="0" collapsed="false">
      <c r="A282" s="46" t="s">
        <v>2608</v>
      </c>
      <c r="B282" s="46"/>
      <c r="C282" s="49" t="n">
        <f aca="false">IF(OR(B282="",D282=""),0,COUNTIFS($B$2:$B$501,B282,$D$2:$D$501,"&lt;"&amp;D282)+COUNTIFS($B$2:$B$501,B282,$D$2:$D$501,D282,$A$2:$A$501,"&lt;"&amp;A282)+1)</f>
        <v>0</v>
      </c>
      <c r="D282" s="46"/>
      <c r="E282" s="46"/>
      <c r="F282" s="46"/>
      <c r="G282" s="46"/>
      <c r="H282" s="46"/>
      <c r="I282" s="46"/>
      <c r="J282" s="46"/>
      <c r="K282" s="46"/>
      <c r="L282" s="46"/>
      <c r="M282" s="46" t="str">
        <f aca="false">IF(B282="","",IF(H282&lt;&gt;"Yes","No",IF(C282=SUMPRODUCT(MAX(($B$2:$B$501=B282)*($H$2:$H$501="Yes")*$C$2:$C$501)),"Yes","No")))</f>
        <v/>
      </c>
      <c r="N282" s="46" t="str">
        <f aca="false">IF(B282="","",IF(H282&lt;&gt;"Yes","Not frozen",IF(AND(J282="Yes",K282="Yes",L282="Yes"),"Complete","Incomplete")))</f>
        <v/>
      </c>
      <c r="O282" s="46" t="str">
        <f aca="false">IF(B282="","",IF(OR(F282="Simbli",F282="Shared folder"),"Yes","No"))</f>
        <v/>
      </c>
      <c r="P282" s="46"/>
    </row>
    <row r="283" customFormat="false" ht="15" hidden="false" customHeight="false" outlineLevel="0" collapsed="false">
      <c r="A283" s="46" t="s">
        <v>2609</v>
      </c>
      <c r="B283" s="46"/>
      <c r="C283" s="49" t="n">
        <f aca="false">IF(OR(B283="",D283=""),0,COUNTIFS($B$2:$B$501,B283,$D$2:$D$501,"&lt;"&amp;D283)+COUNTIFS($B$2:$B$501,B283,$D$2:$D$501,D283,$A$2:$A$501,"&lt;"&amp;A283)+1)</f>
        <v>0</v>
      </c>
      <c r="D283" s="46"/>
      <c r="E283" s="46"/>
      <c r="F283" s="46"/>
      <c r="G283" s="46"/>
      <c r="H283" s="46"/>
      <c r="I283" s="46"/>
      <c r="J283" s="46"/>
      <c r="K283" s="46"/>
      <c r="L283" s="46"/>
      <c r="M283" s="46" t="str">
        <f aca="false">IF(B283="","",IF(H283&lt;&gt;"Yes","No",IF(C283=SUMPRODUCT(MAX(($B$2:$B$501=B283)*($H$2:$H$501="Yes")*$C$2:$C$501)),"Yes","No")))</f>
        <v/>
      </c>
      <c r="N283" s="46" t="str">
        <f aca="false">IF(B283="","",IF(H283&lt;&gt;"Yes","Not frozen",IF(AND(J283="Yes",K283="Yes",L283="Yes"),"Complete","Incomplete")))</f>
        <v/>
      </c>
      <c r="O283" s="46" t="str">
        <f aca="false">IF(B283="","",IF(OR(F283="Simbli",F283="Shared folder"),"Yes","No"))</f>
        <v/>
      </c>
      <c r="P283" s="46"/>
    </row>
    <row r="284" customFormat="false" ht="15" hidden="false" customHeight="false" outlineLevel="0" collapsed="false">
      <c r="A284" s="46" t="s">
        <v>2610</v>
      </c>
      <c r="B284" s="46"/>
      <c r="C284" s="49" t="n">
        <f aca="false">IF(OR(B284="",D284=""),0,COUNTIFS($B$2:$B$501,B284,$D$2:$D$501,"&lt;"&amp;D284)+COUNTIFS($B$2:$B$501,B284,$D$2:$D$501,D284,$A$2:$A$501,"&lt;"&amp;A284)+1)</f>
        <v>0</v>
      </c>
      <c r="D284" s="46"/>
      <c r="E284" s="46"/>
      <c r="F284" s="46"/>
      <c r="G284" s="46"/>
      <c r="H284" s="46"/>
      <c r="I284" s="46"/>
      <c r="J284" s="46"/>
      <c r="K284" s="46"/>
      <c r="L284" s="46"/>
      <c r="M284" s="46" t="str">
        <f aca="false">IF(B284="","",IF(H284&lt;&gt;"Yes","No",IF(C284=SUMPRODUCT(MAX(($B$2:$B$501=B284)*($H$2:$H$501="Yes")*$C$2:$C$501)),"Yes","No")))</f>
        <v/>
      </c>
      <c r="N284" s="46" t="str">
        <f aca="false">IF(B284="","",IF(H284&lt;&gt;"Yes","Not frozen",IF(AND(J284="Yes",K284="Yes",L284="Yes"),"Complete","Incomplete")))</f>
        <v/>
      </c>
      <c r="O284" s="46" t="str">
        <f aca="false">IF(B284="","",IF(OR(F284="Simbli",F284="Shared folder"),"Yes","No"))</f>
        <v/>
      </c>
      <c r="P284" s="46"/>
    </row>
    <row r="285" customFormat="false" ht="15" hidden="false" customHeight="false" outlineLevel="0" collapsed="false">
      <c r="A285" s="46" t="s">
        <v>2611</v>
      </c>
      <c r="B285" s="46"/>
      <c r="C285" s="49" t="n">
        <f aca="false">IF(OR(B285="",D285=""),0,COUNTIFS($B$2:$B$501,B285,$D$2:$D$501,"&lt;"&amp;D285)+COUNTIFS($B$2:$B$501,B285,$D$2:$D$501,D285,$A$2:$A$501,"&lt;"&amp;A285)+1)</f>
        <v>0</v>
      </c>
      <c r="D285" s="46"/>
      <c r="E285" s="46"/>
      <c r="F285" s="46"/>
      <c r="G285" s="46"/>
      <c r="H285" s="46"/>
      <c r="I285" s="46"/>
      <c r="J285" s="46"/>
      <c r="K285" s="46"/>
      <c r="L285" s="46"/>
      <c r="M285" s="46" t="str">
        <f aca="false">IF(B285="","",IF(H285&lt;&gt;"Yes","No",IF(C285=SUMPRODUCT(MAX(($B$2:$B$501=B285)*($H$2:$H$501="Yes")*$C$2:$C$501)),"Yes","No")))</f>
        <v/>
      </c>
      <c r="N285" s="46" t="str">
        <f aca="false">IF(B285="","",IF(H285&lt;&gt;"Yes","Not frozen",IF(AND(J285="Yes",K285="Yes",L285="Yes"),"Complete","Incomplete")))</f>
        <v/>
      </c>
      <c r="O285" s="46" t="str">
        <f aca="false">IF(B285="","",IF(OR(F285="Simbli",F285="Shared folder"),"Yes","No"))</f>
        <v/>
      </c>
      <c r="P285" s="46"/>
    </row>
    <row r="286" customFormat="false" ht="15" hidden="false" customHeight="false" outlineLevel="0" collapsed="false">
      <c r="A286" s="46" t="s">
        <v>2612</v>
      </c>
      <c r="B286" s="46"/>
      <c r="C286" s="49" t="n">
        <f aca="false">IF(OR(B286="",D286=""),0,COUNTIFS($B$2:$B$501,B286,$D$2:$D$501,"&lt;"&amp;D286)+COUNTIFS($B$2:$B$501,B286,$D$2:$D$501,D286,$A$2:$A$501,"&lt;"&amp;A286)+1)</f>
        <v>0</v>
      </c>
      <c r="D286" s="46"/>
      <c r="E286" s="46"/>
      <c r="F286" s="46"/>
      <c r="G286" s="46"/>
      <c r="H286" s="46"/>
      <c r="I286" s="46"/>
      <c r="J286" s="46"/>
      <c r="K286" s="46"/>
      <c r="L286" s="46"/>
      <c r="M286" s="46" t="str">
        <f aca="false">IF(B286="","",IF(H286&lt;&gt;"Yes","No",IF(C286=SUMPRODUCT(MAX(($B$2:$B$501=B286)*($H$2:$H$501="Yes")*$C$2:$C$501)),"Yes","No")))</f>
        <v/>
      </c>
      <c r="N286" s="46" t="str">
        <f aca="false">IF(B286="","",IF(H286&lt;&gt;"Yes","Not frozen",IF(AND(J286="Yes",K286="Yes",L286="Yes"),"Complete","Incomplete")))</f>
        <v/>
      </c>
      <c r="O286" s="46" t="str">
        <f aca="false">IF(B286="","",IF(OR(F286="Simbli",F286="Shared folder"),"Yes","No"))</f>
        <v/>
      </c>
      <c r="P286" s="46"/>
    </row>
    <row r="287" customFormat="false" ht="15" hidden="false" customHeight="false" outlineLevel="0" collapsed="false">
      <c r="A287" s="46" t="s">
        <v>2613</v>
      </c>
      <c r="B287" s="46"/>
      <c r="C287" s="49" t="n">
        <f aca="false">IF(OR(B287="",D287=""),0,COUNTIFS($B$2:$B$501,B287,$D$2:$D$501,"&lt;"&amp;D287)+COUNTIFS($B$2:$B$501,B287,$D$2:$D$501,D287,$A$2:$A$501,"&lt;"&amp;A287)+1)</f>
        <v>0</v>
      </c>
      <c r="D287" s="46"/>
      <c r="E287" s="46"/>
      <c r="F287" s="46"/>
      <c r="G287" s="46"/>
      <c r="H287" s="46"/>
      <c r="I287" s="46"/>
      <c r="J287" s="46"/>
      <c r="K287" s="46"/>
      <c r="L287" s="46"/>
      <c r="M287" s="46" t="str">
        <f aca="false">IF(B287="","",IF(H287&lt;&gt;"Yes","No",IF(C287=SUMPRODUCT(MAX(($B$2:$B$501=B287)*($H$2:$H$501="Yes")*$C$2:$C$501)),"Yes","No")))</f>
        <v/>
      </c>
      <c r="N287" s="46" t="str">
        <f aca="false">IF(B287="","",IF(H287&lt;&gt;"Yes","Not frozen",IF(AND(J287="Yes",K287="Yes",L287="Yes"),"Complete","Incomplete")))</f>
        <v/>
      </c>
      <c r="O287" s="46" t="str">
        <f aca="false">IF(B287="","",IF(OR(F287="Simbli",F287="Shared folder"),"Yes","No"))</f>
        <v/>
      </c>
      <c r="P287" s="46"/>
    </row>
    <row r="288" customFormat="false" ht="15" hidden="false" customHeight="false" outlineLevel="0" collapsed="false">
      <c r="A288" s="46" t="s">
        <v>2614</v>
      </c>
      <c r="B288" s="46"/>
      <c r="C288" s="49" t="n">
        <f aca="false">IF(OR(B288="",D288=""),0,COUNTIFS($B$2:$B$501,B288,$D$2:$D$501,"&lt;"&amp;D288)+COUNTIFS($B$2:$B$501,B288,$D$2:$D$501,D288,$A$2:$A$501,"&lt;"&amp;A288)+1)</f>
        <v>0</v>
      </c>
      <c r="D288" s="46"/>
      <c r="E288" s="46"/>
      <c r="F288" s="46"/>
      <c r="G288" s="46"/>
      <c r="H288" s="46"/>
      <c r="I288" s="46"/>
      <c r="J288" s="46"/>
      <c r="K288" s="46"/>
      <c r="L288" s="46"/>
      <c r="M288" s="46" t="str">
        <f aca="false">IF(B288="","",IF(H288&lt;&gt;"Yes","No",IF(C288=SUMPRODUCT(MAX(($B$2:$B$501=B288)*($H$2:$H$501="Yes")*$C$2:$C$501)),"Yes","No")))</f>
        <v/>
      </c>
      <c r="N288" s="46" t="str">
        <f aca="false">IF(B288="","",IF(H288&lt;&gt;"Yes","Not frozen",IF(AND(J288="Yes",K288="Yes",L288="Yes"),"Complete","Incomplete")))</f>
        <v/>
      </c>
      <c r="O288" s="46" t="str">
        <f aca="false">IF(B288="","",IF(OR(F288="Simbli",F288="Shared folder"),"Yes","No"))</f>
        <v/>
      </c>
      <c r="P288" s="46"/>
    </row>
    <row r="289" customFormat="false" ht="15" hidden="false" customHeight="false" outlineLevel="0" collapsed="false">
      <c r="A289" s="46" t="s">
        <v>2615</v>
      </c>
      <c r="B289" s="46"/>
      <c r="C289" s="49" t="n">
        <f aca="false">IF(OR(B289="",D289=""),0,COUNTIFS($B$2:$B$501,B289,$D$2:$D$501,"&lt;"&amp;D289)+COUNTIFS($B$2:$B$501,B289,$D$2:$D$501,D289,$A$2:$A$501,"&lt;"&amp;A289)+1)</f>
        <v>0</v>
      </c>
      <c r="D289" s="46"/>
      <c r="E289" s="46"/>
      <c r="F289" s="46"/>
      <c r="G289" s="46"/>
      <c r="H289" s="46"/>
      <c r="I289" s="46"/>
      <c r="J289" s="46"/>
      <c r="K289" s="46"/>
      <c r="L289" s="46"/>
      <c r="M289" s="46" t="str">
        <f aca="false">IF(B289="","",IF(H289&lt;&gt;"Yes","No",IF(C289=SUMPRODUCT(MAX(($B$2:$B$501=B289)*($H$2:$H$501="Yes")*$C$2:$C$501)),"Yes","No")))</f>
        <v/>
      </c>
      <c r="N289" s="46" t="str">
        <f aca="false">IF(B289="","",IF(H289&lt;&gt;"Yes","Not frozen",IF(AND(J289="Yes",K289="Yes",L289="Yes"),"Complete","Incomplete")))</f>
        <v/>
      </c>
      <c r="O289" s="46" t="str">
        <f aca="false">IF(B289="","",IF(OR(F289="Simbli",F289="Shared folder"),"Yes","No"))</f>
        <v/>
      </c>
      <c r="P289" s="46"/>
    </row>
    <row r="290" customFormat="false" ht="15" hidden="false" customHeight="false" outlineLevel="0" collapsed="false">
      <c r="A290" s="46" t="s">
        <v>2616</v>
      </c>
      <c r="B290" s="46"/>
      <c r="C290" s="49" t="n">
        <f aca="false">IF(OR(B290="",D290=""),0,COUNTIFS($B$2:$B$501,B290,$D$2:$D$501,"&lt;"&amp;D290)+COUNTIFS($B$2:$B$501,B290,$D$2:$D$501,D290,$A$2:$A$501,"&lt;"&amp;A290)+1)</f>
        <v>0</v>
      </c>
      <c r="D290" s="46"/>
      <c r="E290" s="46"/>
      <c r="F290" s="46"/>
      <c r="G290" s="46"/>
      <c r="H290" s="46"/>
      <c r="I290" s="46"/>
      <c r="J290" s="46"/>
      <c r="K290" s="46"/>
      <c r="L290" s="46"/>
      <c r="M290" s="46" t="str">
        <f aca="false">IF(B290="","",IF(H290&lt;&gt;"Yes","No",IF(C290=SUMPRODUCT(MAX(($B$2:$B$501=B290)*($H$2:$H$501="Yes")*$C$2:$C$501)),"Yes","No")))</f>
        <v/>
      </c>
      <c r="N290" s="46" t="str">
        <f aca="false">IF(B290="","",IF(H290&lt;&gt;"Yes","Not frozen",IF(AND(J290="Yes",K290="Yes",L290="Yes"),"Complete","Incomplete")))</f>
        <v/>
      </c>
      <c r="O290" s="46" t="str">
        <f aca="false">IF(B290="","",IF(OR(F290="Simbli",F290="Shared folder"),"Yes","No"))</f>
        <v/>
      </c>
      <c r="P290" s="46"/>
    </row>
    <row r="291" customFormat="false" ht="15" hidden="false" customHeight="false" outlineLevel="0" collapsed="false">
      <c r="A291" s="46" t="s">
        <v>2617</v>
      </c>
      <c r="B291" s="46"/>
      <c r="C291" s="49" t="n">
        <f aca="false">IF(OR(B291="",D291=""),0,COUNTIFS($B$2:$B$501,B291,$D$2:$D$501,"&lt;"&amp;D291)+COUNTIFS($B$2:$B$501,B291,$D$2:$D$501,D291,$A$2:$A$501,"&lt;"&amp;A291)+1)</f>
        <v>0</v>
      </c>
      <c r="D291" s="46"/>
      <c r="E291" s="46"/>
      <c r="F291" s="46"/>
      <c r="G291" s="46"/>
      <c r="H291" s="46"/>
      <c r="I291" s="46"/>
      <c r="J291" s="46"/>
      <c r="K291" s="46"/>
      <c r="L291" s="46"/>
      <c r="M291" s="46" t="str">
        <f aca="false">IF(B291="","",IF(H291&lt;&gt;"Yes","No",IF(C291=SUMPRODUCT(MAX(($B$2:$B$501=B291)*($H$2:$H$501="Yes")*$C$2:$C$501)),"Yes","No")))</f>
        <v/>
      </c>
      <c r="N291" s="46" t="str">
        <f aca="false">IF(B291="","",IF(H291&lt;&gt;"Yes","Not frozen",IF(AND(J291="Yes",K291="Yes",L291="Yes"),"Complete","Incomplete")))</f>
        <v/>
      </c>
      <c r="O291" s="46" t="str">
        <f aca="false">IF(B291="","",IF(OR(F291="Simbli",F291="Shared folder"),"Yes","No"))</f>
        <v/>
      </c>
      <c r="P291" s="46"/>
    </row>
    <row r="292" customFormat="false" ht="15" hidden="false" customHeight="false" outlineLevel="0" collapsed="false">
      <c r="A292" s="46" t="s">
        <v>2618</v>
      </c>
      <c r="B292" s="46"/>
      <c r="C292" s="49" t="n">
        <f aca="false">IF(OR(B292="",D292=""),0,COUNTIFS($B$2:$B$501,B292,$D$2:$D$501,"&lt;"&amp;D292)+COUNTIFS($B$2:$B$501,B292,$D$2:$D$501,D292,$A$2:$A$501,"&lt;"&amp;A292)+1)</f>
        <v>0</v>
      </c>
      <c r="D292" s="46"/>
      <c r="E292" s="46"/>
      <c r="F292" s="46"/>
      <c r="G292" s="46"/>
      <c r="H292" s="46"/>
      <c r="I292" s="46"/>
      <c r="J292" s="46"/>
      <c r="K292" s="46"/>
      <c r="L292" s="46"/>
      <c r="M292" s="46" t="str">
        <f aca="false">IF(B292="","",IF(H292&lt;&gt;"Yes","No",IF(C292=SUMPRODUCT(MAX(($B$2:$B$501=B292)*($H$2:$H$501="Yes")*$C$2:$C$501)),"Yes","No")))</f>
        <v/>
      </c>
      <c r="N292" s="46" t="str">
        <f aca="false">IF(B292="","",IF(H292&lt;&gt;"Yes","Not frozen",IF(AND(J292="Yes",K292="Yes",L292="Yes"),"Complete","Incomplete")))</f>
        <v/>
      </c>
      <c r="O292" s="46" t="str">
        <f aca="false">IF(B292="","",IF(OR(F292="Simbli",F292="Shared folder"),"Yes","No"))</f>
        <v/>
      </c>
      <c r="P292" s="46"/>
    </row>
    <row r="293" customFormat="false" ht="15" hidden="false" customHeight="false" outlineLevel="0" collapsed="false">
      <c r="A293" s="46" t="s">
        <v>2619</v>
      </c>
      <c r="B293" s="46"/>
      <c r="C293" s="49" t="n">
        <f aca="false">IF(OR(B293="",D293=""),0,COUNTIFS($B$2:$B$501,B293,$D$2:$D$501,"&lt;"&amp;D293)+COUNTIFS($B$2:$B$501,B293,$D$2:$D$501,D293,$A$2:$A$501,"&lt;"&amp;A293)+1)</f>
        <v>0</v>
      </c>
      <c r="D293" s="46"/>
      <c r="E293" s="46"/>
      <c r="F293" s="46"/>
      <c r="G293" s="46"/>
      <c r="H293" s="46"/>
      <c r="I293" s="46"/>
      <c r="J293" s="46"/>
      <c r="K293" s="46"/>
      <c r="L293" s="46"/>
      <c r="M293" s="46" t="str">
        <f aca="false">IF(B293="","",IF(H293&lt;&gt;"Yes","No",IF(C293=SUMPRODUCT(MAX(($B$2:$B$501=B293)*($H$2:$H$501="Yes")*$C$2:$C$501)),"Yes","No")))</f>
        <v/>
      </c>
      <c r="N293" s="46" t="str">
        <f aca="false">IF(B293="","",IF(H293&lt;&gt;"Yes","Not frozen",IF(AND(J293="Yes",K293="Yes",L293="Yes"),"Complete","Incomplete")))</f>
        <v/>
      </c>
      <c r="O293" s="46" t="str">
        <f aca="false">IF(B293="","",IF(OR(F293="Simbli",F293="Shared folder"),"Yes","No"))</f>
        <v/>
      </c>
      <c r="P293" s="46"/>
    </row>
    <row r="294" customFormat="false" ht="15" hidden="false" customHeight="false" outlineLevel="0" collapsed="false">
      <c r="A294" s="46" t="s">
        <v>2620</v>
      </c>
      <c r="B294" s="46"/>
      <c r="C294" s="49" t="n">
        <f aca="false">IF(OR(B294="",D294=""),0,COUNTIFS($B$2:$B$501,B294,$D$2:$D$501,"&lt;"&amp;D294)+COUNTIFS($B$2:$B$501,B294,$D$2:$D$501,D294,$A$2:$A$501,"&lt;"&amp;A294)+1)</f>
        <v>0</v>
      </c>
      <c r="D294" s="46"/>
      <c r="E294" s="46"/>
      <c r="F294" s="46"/>
      <c r="G294" s="46"/>
      <c r="H294" s="46"/>
      <c r="I294" s="46"/>
      <c r="J294" s="46"/>
      <c r="K294" s="46"/>
      <c r="L294" s="46"/>
      <c r="M294" s="46" t="str">
        <f aca="false">IF(B294="","",IF(H294&lt;&gt;"Yes","No",IF(C294=SUMPRODUCT(MAX(($B$2:$B$501=B294)*($H$2:$H$501="Yes")*$C$2:$C$501)),"Yes","No")))</f>
        <v/>
      </c>
      <c r="N294" s="46" t="str">
        <f aca="false">IF(B294="","",IF(H294&lt;&gt;"Yes","Not frozen",IF(AND(J294="Yes",K294="Yes",L294="Yes"),"Complete","Incomplete")))</f>
        <v/>
      </c>
      <c r="O294" s="46" t="str">
        <f aca="false">IF(B294="","",IF(OR(F294="Simbli",F294="Shared folder"),"Yes","No"))</f>
        <v/>
      </c>
      <c r="P294" s="46"/>
    </row>
    <row r="295" customFormat="false" ht="15" hidden="false" customHeight="false" outlineLevel="0" collapsed="false">
      <c r="A295" s="46" t="s">
        <v>2621</v>
      </c>
      <c r="B295" s="46"/>
      <c r="C295" s="49" t="n">
        <f aca="false">IF(OR(B295="",D295=""),0,COUNTIFS($B$2:$B$501,B295,$D$2:$D$501,"&lt;"&amp;D295)+COUNTIFS($B$2:$B$501,B295,$D$2:$D$501,D295,$A$2:$A$501,"&lt;"&amp;A295)+1)</f>
        <v>0</v>
      </c>
      <c r="D295" s="46"/>
      <c r="E295" s="46"/>
      <c r="F295" s="46"/>
      <c r="G295" s="46"/>
      <c r="H295" s="46"/>
      <c r="I295" s="46"/>
      <c r="J295" s="46"/>
      <c r="K295" s="46"/>
      <c r="L295" s="46"/>
      <c r="M295" s="46" t="str">
        <f aca="false">IF(B295="","",IF(H295&lt;&gt;"Yes","No",IF(C295=SUMPRODUCT(MAX(($B$2:$B$501=B295)*($H$2:$H$501="Yes")*$C$2:$C$501)),"Yes","No")))</f>
        <v/>
      </c>
      <c r="N295" s="46" t="str">
        <f aca="false">IF(B295="","",IF(H295&lt;&gt;"Yes","Not frozen",IF(AND(J295="Yes",K295="Yes",L295="Yes"),"Complete","Incomplete")))</f>
        <v/>
      </c>
      <c r="O295" s="46" t="str">
        <f aca="false">IF(B295="","",IF(OR(F295="Simbli",F295="Shared folder"),"Yes","No"))</f>
        <v/>
      </c>
      <c r="P295" s="46"/>
    </row>
    <row r="296" customFormat="false" ht="15" hidden="false" customHeight="false" outlineLevel="0" collapsed="false">
      <c r="A296" s="46" t="s">
        <v>2622</v>
      </c>
      <c r="B296" s="46"/>
      <c r="C296" s="49" t="n">
        <f aca="false">IF(OR(B296="",D296=""),0,COUNTIFS($B$2:$B$501,B296,$D$2:$D$501,"&lt;"&amp;D296)+COUNTIFS($B$2:$B$501,B296,$D$2:$D$501,D296,$A$2:$A$501,"&lt;"&amp;A296)+1)</f>
        <v>0</v>
      </c>
      <c r="D296" s="46"/>
      <c r="E296" s="46"/>
      <c r="F296" s="46"/>
      <c r="G296" s="46"/>
      <c r="H296" s="46"/>
      <c r="I296" s="46"/>
      <c r="J296" s="46"/>
      <c r="K296" s="46"/>
      <c r="L296" s="46"/>
      <c r="M296" s="46" t="str">
        <f aca="false">IF(B296="","",IF(H296&lt;&gt;"Yes","No",IF(C296=SUMPRODUCT(MAX(($B$2:$B$501=B296)*($H$2:$H$501="Yes")*$C$2:$C$501)),"Yes","No")))</f>
        <v/>
      </c>
      <c r="N296" s="46" t="str">
        <f aca="false">IF(B296="","",IF(H296&lt;&gt;"Yes","Not frozen",IF(AND(J296="Yes",K296="Yes",L296="Yes"),"Complete","Incomplete")))</f>
        <v/>
      </c>
      <c r="O296" s="46" t="str">
        <f aca="false">IF(B296="","",IF(OR(F296="Simbli",F296="Shared folder"),"Yes","No"))</f>
        <v/>
      </c>
      <c r="P296" s="46"/>
    </row>
    <row r="297" customFormat="false" ht="15" hidden="false" customHeight="false" outlineLevel="0" collapsed="false">
      <c r="A297" s="46" t="s">
        <v>2623</v>
      </c>
      <c r="B297" s="46"/>
      <c r="C297" s="49" t="n">
        <f aca="false">IF(OR(B297="",D297=""),0,COUNTIFS($B$2:$B$501,B297,$D$2:$D$501,"&lt;"&amp;D297)+COUNTIFS($B$2:$B$501,B297,$D$2:$D$501,D297,$A$2:$A$501,"&lt;"&amp;A297)+1)</f>
        <v>0</v>
      </c>
      <c r="D297" s="46"/>
      <c r="E297" s="46"/>
      <c r="F297" s="46"/>
      <c r="G297" s="46"/>
      <c r="H297" s="46"/>
      <c r="I297" s="46"/>
      <c r="J297" s="46"/>
      <c r="K297" s="46"/>
      <c r="L297" s="46"/>
      <c r="M297" s="46" t="str">
        <f aca="false">IF(B297="","",IF(H297&lt;&gt;"Yes","No",IF(C297=SUMPRODUCT(MAX(($B$2:$B$501=B297)*($H$2:$H$501="Yes")*$C$2:$C$501)),"Yes","No")))</f>
        <v/>
      </c>
      <c r="N297" s="46" t="str">
        <f aca="false">IF(B297="","",IF(H297&lt;&gt;"Yes","Not frozen",IF(AND(J297="Yes",K297="Yes",L297="Yes"),"Complete","Incomplete")))</f>
        <v/>
      </c>
      <c r="O297" s="46" t="str">
        <f aca="false">IF(B297="","",IF(OR(F297="Simbli",F297="Shared folder"),"Yes","No"))</f>
        <v/>
      </c>
      <c r="P297" s="46"/>
    </row>
    <row r="298" customFormat="false" ht="15" hidden="false" customHeight="false" outlineLevel="0" collapsed="false">
      <c r="A298" s="46" t="s">
        <v>2624</v>
      </c>
      <c r="B298" s="46"/>
      <c r="C298" s="49" t="n">
        <f aca="false">IF(OR(B298="",D298=""),0,COUNTIFS($B$2:$B$501,B298,$D$2:$D$501,"&lt;"&amp;D298)+COUNTIFS($B$2:$B$501,B298,$D$2:$D$501,D298,$A$2:$A$501,"&lt;"&amp;A298)+1)</f>
        <v>0</v>
      </c>
      <c r="D298" s="46"/>
      <c r="E298" s="46"/>
      <c r="F298" s="46"/>
      <c r="G298" s="46"/>
      <c r="H298" s="46"/>
      <c r="I298" s="46"/>
      <c r="J298" s="46"/>
      <c r="K298" s="46"/>
      <c r="L298" s="46"/>
      <c r="M298" s="46" t="str">
        <f aca="false">IF(B298="","",IF(H298&lt;&gt;"Yes","No",IF(C298=SUMPRODUCT(MAX(($B$2:$B$501=B298)*($H$2:$H$501="Yes")*$C$2:$C$501)),"Yes","No")))</f>
        <v/>
      </c>
      <c r="N298" s="46" t="str">
        <f aca="false">IF(B298="","",IF(H298&lt;&gt;"Yes","Not frozen",IF(AND(J298="Yes",K298="Yes",L298="Yes"),"Complete","Incomplete")))</f>
        <v/>
      </c>
      <c r="O298" s="46" t="str">
        <f aca="false">IF(B298="","",IF(OR(F298="Simbli",F298="Shared folder"),"Yes","No"))</f>
        <v/>
      </c>
      <c r="P298" s="46"/>
    </row>
    <row r="299" customFormat="false" ht="15" hidden="false" customHeight="false" outlineLevel="0" collapsed="false">
      <c r="A299" s="46" t="s">
        <v>2625</v>
      </c>
      <c r="B299" s="46"/>
      <c r="C299" s="49" t="n">
        <f aca="false">IF(OR(B299="",D299=""),0,COUNTIFS($B$2:$B$501,B299,$D$2:$D$501,"&lt;"&amp;D299)+COUNTIFS($B$2:$B$501,B299,$D$2:$D$501,D299,$A$2:$A$501,"&lt;"&amp;A299)+1)</f>
        <v>0</v>
      </c>
      <c r="D299" s="46"/>
      <c r="E299" s="46"/>
      <c r="F299" s="46"/>
      <c r="G299" s="46"/>
      <c r="H299" s="46"/>
      <c r="I299" s="46"/>
      <c r="J299" s="46"/>
      <c r="K299" s="46"/>
      <c r="L299" s="46"/>
      <c r="M299" s="46" t="str">
        <f aca="false">IF(B299="","",IF(H299&lt;&gt;"Yes","No",IF(C299=SUMPRODUCT(MAX(($B$2:$B$501=B299)*($H$2:$H$501="Yes")*$C$2:$C$501)),"Yes","No")))</f>
        <v/>
      </c>
      <c r="N299" s="46" t="str">
        <f aca="false">IF(B299="","",IF(H299&lt;&gt;"Yes","Not frozen",IF(AND(J299="Yes",K299="Yes",L299="Yes"),"Complete","Incomplete")))</f>
        <v/>
      </c>
      <c r="O299" s="46" t="str">
        <f aca="false">IF(B299="","",IF(OR(F299="Simbli",F299="Shared folder"),"Yes","No"))</f>
        <v/>
      </c>
      <c r="P299" s="46"/>
    </row>
    <row r="300" customFormat="false" ht="15" hidden="false" customHeight="false" outlineLevel="0" collapsed="false">
      <c r="A300" s="46" t="s">
        <v>2626</v>
      </c>
      <c r="B300" s="46"/>
      <c r="C300" s="49" t="n">
        <f aca="false">IF(OR(B300="",D300=""),0,COUNTIFS($B$2:$B$501,B300,$D$2:$D$501,"&lt;"&amp;D300)+COUNTIFS($B$2:$B$501,B300,$D$2:$D$501,D300,$A$2:$A$501,"&lt;"&amp;A300)+1)</f>
        <v>0</v>
      </c>
      <c r="D300" s="46"/>
      <c r="E300" s="46"/>
      <c r="F300" s="46"/>
      <c r="G300" s="46"/>
      <c r="H300" s="46"/>
      <c r="I300" s="46"/>
      <c r="J300" s="46"/>
      <c r="K300" s="46"/>
      <c r="L300" s="46"/>
      <c r="M300" s="46" t="str">
        <f aca="false">IF(B300="","",IF(H300&lt;&gt;"Yes","No",IF(C300=SUMPRODUCT(MAX(($B$2:$B$501=B300)*($H$2:$H$501="Yes")*$C$2:$C$501)),"Yes","No")))</f>
        <v/>
      </c>
      <c r="N300" s="46" t="str">
        <f aca="false">IF(B300="","",IF(H300&lt;&gt;"Yes","Not frozen",IF(AND(J300="Yes",K300="Yes",L300="Yes"),"Complete","Incomplete")))</f>
        <v/>
      </c>
      <c r="O300" s="46" t="str">
        <f aca="false">IF(B300="","",IF(OR(F300="Simbli",F300="Shared folder"),"Yes","No"))</f>
        <v/>
      </c>
      <c r="P300" s="46"/>
    </row>
    <row r="301" customFormat="false" ht="15" hidden="false" customHeight="false" outlineLevel="0" collapsed="false">
      <c r="A301" s="46" t="s">
        <v>2627</v>
      </c>
      <c r="B301" s="46"/>
      <c r="C301" s="49" t="n">
        <f aca="false">IF(OR(B301="",D301=""),0,COUNTIFS($B$2:$B$501,B301,$D$2:$D$501,"&lt;"&amp;D301)+COUNTIFS($B$2:$B$501,B301,$D$2:$D$501,D301,$A$2:$A$501,"&lt;"&amp;A301)+1)</f>
        <v>0</v>
      </c>
      <c r="D301" s="46"/>
      <c r="E301" s="46"/>
      <c r="F301" s="46"/>
      <c r="G301" s="46"/>
      <c r="H301" s="46"/>
      <c r="I301" s="46"/>
      <c r="J301" s="46"/>
      <c r="K301" s="46"/>
      <c r="L301" s="46"/>
      <c r="M301" s="46" t="str">
        <f aca="false">IF(B301="","",IF(H301&lt;&gt;"Yes","No",IF(C301=SUMPRODUCT(MAX(($B$2:$B$501=B301)*($H$2:$H$501="Yes")*$C$2:$C$501)),"Yes","No")))</f>
        <v/>
      </c>
      <c r="N301" s="46" t="str">
        <f aca="false">IF(B301="","",IF(H301&lt;&gt;"Yes","Not frozen",IF(AND(J301="Yes",K301="Yes",L301="Yes"),"Complete","Incomplete")))</f>
        <v/>
      </c>
      <c r="O301" s="46" t="str">
        <f aca="false">IF(B301="","",IF(OR(F301="Simbli",F301="Shared folder"),"Yes","No"))</f>
        <v/>
      </c>
      <c r="P301" s="46"/>
    </row>
    <row r="302" customFormat="false" ht="15" hidden="false" customHeight="false" outlineLevel="0" collapsed="false">
      <c r="A302" s="46" t="s">
        <v>2628</v>
      </c>
      <c r="B302" s="46"/>
      <c r="C302" s="49" t="n">
        <f aca="false">IF(OR(B302="",D302=""),0,COUNTIFS($B$2:$B$501,B302,$D$2:$D$501,"&lt;"&amp;D302)+COUNTIFS($B$2:$B$501,B302,$D$2:$D$501,D302,$A$2:$A$501,"&lt;"&amp;A302)+1)</f>
        <v>0</v>
      </c>
      <c r="D302" s="46"/>
      <c r="E302" s="46"/>
      <c r="F302" s="46"/>
      <c r="G302" s="46"/>
      <c r="H302" s="46"/>
      <c r="I302" s="46"/>
      <c r="J302" s="46"/>
      <c r="K302" s="46"/>
      <c r="L302" s="46"/>
      <c r="M302" s="46" t="str">
        <f aca="false">IF(B302="","",IF(H302&lt;&gt;"Yes","No",IF(C302=SUMPRODUCT(MAX(($B$2:$B$501=B302)*($H$2:$H$501="Yes")*$C$2:$C$501)),"Yes","No")))</f>
        <v/>
      </c>
      <c r="N302" s="46" t="str">
        <f aca="false">IF(B302="","",IF(H302&lt;&gt;"Yes","Not frozen",IF(AND(J302="Yes",K302="Yes",L302="Yes"),"Complete","Incomplete")))</f>
        <v/>
      </c>
      <c r="O302" s="46" t="str">
        <f aca="false">IF(B302="","",IF(OR(F302="Simbli",F302="Shared folder"),"Yes","No"))</f>
        <v/>
      </c>
      <c r="P302" s="46"/>
    </row>
    <row r="303" customFormat="false" ht="15" hidden="false" customHeight="false" outlineLevel="0" collapsed="false">
      <c r="A303" s="46" t="s">
        <v>2629</v>
      </c>
      <c r="B303" s="46"/>
      <c r="C303" s="49" t="n">
        <f aca="false">IF(OR(B303="",D303=""),0,COUNTIFS($B$2:$B$501,B303,$D$2:$D$501,"&lt;"&amp;D303)+COUNTIFS($B$2:$B$501,B303,$D$2:$D$501,D303,$A$2:$A$501,"&lt;"&amp;A303)+1)</f>
        <v>0</v>
      </c>
      <c r="D303" s="46"/>
      <c r="E303" s="46"/>
      <c r="F303" s="46"/>
      <c r="G303" s="46"/>
      <c r="H303" s="46"/>
      <c r="I303" s="46"/>
      <c r="J303" s="46"/>
      <c r="K303" s="46"/>
      <c r="L303" s="46"/>
      <c r="M303" s="46" t="str">
        <f aca="false">IF(B303="","",IF(H303&lt;&gt;"Yes","No",IF(C303=SUMPRODUCT(MAX(($B$2:$B$501=B303)*($H$2:$H$501="Yes")*$C$2:$C$501)),"Yes","No")))</f>
        <v/>
      </c>
      <c r="N303" s="46" t="str">
        <f aca="false">IF(B303="","",IF(H303&lt;&gt;"Yes","Not frozen",IF(AND(J303="Yes",K303="Yes",L303="Yes"),"Complete","Incomplete")))</f>
        <v/>
      </c>
      <c r="O303" s="46" t="str">
        <f aca="false">IF(B303="","",IF(OR(F303="Simbli",F303="Shared folder"),"Yes","No"))</f>
        <v/>
      </c>
      <c r="P303" s="46"/>
    </row>
    <row r="304" customFormat="false" ht="15" hidden="false" customHeight="false" outlineLevel="0" collapsed="false">
      <c r="A304" s="46" t="s">
        <v>2630</v>
      </c>
      <c r="B304" s="46"/>
      <c r="C304" s="49" t="n">
        <f aca="false">IF(OR(B304="",D304=""),0,COUNTIFS($B$2:$B$501,B304,$D$2:$D$501,"&lt;"&amp;D304)+COUNTIFS($B$2:$B$501,B304,$D$2:$D$501,D304,$A$2:$A$501,"&lt;"&amp;A304)+1)</f>
        <v>0</v>
      </c>
      <c r="D304" s="46"/>
      <c r="E304" s="46"/>
      <c r="F304" s="46"/>
      <c r="G304" s="46"/>
      <c r="H304" s="46"/>
      <c r="I304" s="46"/>
      <c r="J304" s="46"/>
      <c r="K304" s="46"/>
      <c r="L304" s="46"/>
      <c r="M304" s="46" t="str">
        <f aca="false">IF(B304="","",IF(H304&lt;&gt;"Yes","No",IF(C304=SUMPRODUCT(MAX(($B$2:$B$501=B304)*($H$2:$H$501="Yes")*$C$2:$C$501)),"Yes","No")))</f>
        <v/>
      </c>
      <c r="N304" s="46" t="str">
        <f aca="false">IF(B304="","",IF(H304&lt;&gt;"Yes","Not frozen",IF(AND(J304="Yes",K304="Yes",L304="Yes"),"Complete","Incomplete")))</f>
        <v/>
      </c>
      <c r="O304" s="46" t="str">
        <f aca="false">IF(B304="","",IF(OR(F304="Simbli",F304="Shared folder"),"Yes","No"))</f>
        <v/>
      </c>
      <c r="P304" s="46"/>
    </row>
    <row r="305" customFormat="false" ht="15" hidden="false" customHeight="false" outlineLevel="0" collapsed="false">
      <c r="A305" s="46" t="s">
        <v>2631</v>
      </c>
      <c r="B305" s="46"/>
      <c r="C305" s="49" t="n">
        <f aca="false">IF(OR(B305="",D305=""),0,COUNTIFS($B$2:$B$501,B305,$D$2:$D$501,"&lt;"&amp;D305)+COUNTIFS($B$2:$B$501,B305,$D$2:$D$501,D305,$A$2:$A$501,"&lt;"&amp;A305)+1)</f>
        <v>0</v>
      </c>
      <c r="D305" s="46"/>
      <c r="E305" s="46"/>
      <c r="F305" s="46"/>
      <c r="G305" s="46"/>
      <c r="H305" s="46"/>
      <c r="I305" s="46"/>
      <c r="J305" s="46"/>
      <c r="K305" s="46"/>
      <c r="L305" s="46"/>
      <c r="M305" s="46" t="str">
        <f aca="false">IF(B305="","",IF(H305&lt;&gt;"Yes","No",IF(C305=SUMPRODUCT(MAX(($B$2:$B$501=B305)*($H$2:$H$501="Yes")*$C$2:$C$501)),"Yes","No")))</f>
        <v/>
      </c>
      <c r="N305" s="46" t="str">
        <f aca="false">IF(B305="","",IF(H305&lt;&gt;"Yes","Not frozen",IF(AND(J305="Yes",K305="Yes",L305="Yes"),"Complete","Incomplete")))</f>
        <v/>
      </c>
      <c r="O305" s="46" t="str">
        <f aca="false">IF(B305="","",IF(OR(F305="Simbli",F305="Shared folder"),"Yes","No"))</f>
        <v/>
      </c>
      <c r="P305" s="46"/>
    </row>
    <row r="306" customFormat="false" ht="15" hidden="false" customHeight="false" outlineLevel="0" collapsed="false">
      <c r="A306" s="46" t="s">
        <v>2632</v>
      </c>
      <c r="B306" s="46"/>
      <c r="C306" s="49" t="n">
        <f aca="false">IF(OR(B306="",D306=""),0,COUNTIFS($B$2:$B$501,B306,$D$2:$D$501,"&lt;"&amp;D306)+COUNTIFS($B$2:$B$501,B306,$D$2:$D$501,D306,$A$2:$A$501,"&lt;"&amp;A306)+1)</f>
        <v>0</v>
      </c>
      <c r="D306" s="46"/>
      <c r="E306" s="46"/>
      <c r="F306" s="46"/>
      <c r="G306" s="46"/>
      <c r="H306" s="46"/>
      <c r="I306" s="46"/>
      <c r="J306" s="46"/>
      <c r="K306" s="46"/>
      <c r="L306" s="46"/>
      <c r="M306" s="46" t="str">
        <f aca="false">IF(B306="","",IF(H306&lt;&gt;"Yes","No",IF(C306=SUMPRODUCT(MAX(($B$2:$B$501=B306)*($H$2:$H$501="Yes")*$C$2:$C$501)),"Yes","No")))</f>
        <v/>
      </c>
      <c r="N306" s="46" t="str">
        <f aca="false">IF(B306="","",IF(H306&lt;&gt;"Yes","Not frozen",IF(AND(J306="Yes",K306="Yes",L306="Yes"),"Complete","Incomplete")))</f>
        <v/>
      </c>
      <c r="O306" s="46" t="str">
        <f aca="false">IF(B306="","",IF(OR(F306="Simbli",F306="Shared folder"),"Yes","No"))</f>
        <v/>
      </c>
      <c r="P306" s="46"/>
    </row>
    <row r="307" customFormat="false" ht="15" hidden="false" customHeight="false" outlineLevel="0" collapsed="false">
      <c r="A307" s="46" t="s">
        <v>2633</v>
      </c>
      <c r="B307" s="46"/>
      <c r="C307" s="49" t="n">
        <f aca="false">IF(OR(B307="",D307=""),0,COUNTIFS($B$2:$B$501,B307,$D$2:$D$501,"&lt;"&amp;D307)+COUNTIFS($B$2:$B$501,B307,$D$2:$D$501,D307,$A$2:$A$501,"&lt;"&amp;A307)+1)</f>
        <v>0</v>
      </c>
      <c r="D307" s="46"/>
      <c r="E307" s="46"/>
      <c r="F307" s="46"/>
      <c r="G307" s="46"/>
      <c r="H307" s="46"/>
      <c r="I307" s="46"/>
      <c r="J307" s="46"/>
      <c r="K307" s="46"/>
      <c r="L307" s="46"/>
      <c r="M307" s="46" t="str">
        <f aca="false">IF(B307="","",IF(H307&lt;&gt;"Yes","No",IF(C307=SUMPRODUCT(MAX(($B$2:$B$501=B307)*($H$2:$H$501="Yes")*$C$2:$C$501)),"Yes","No")))</f>
        <v/>
      </c>
      <c r="N307" s="46" t="str">
        <f aca="false">IF(B307="","",IF(H307&lt;&gt;"Yes","Not frozen",IF(AND(J307="Yes",K307="Yes",L307="Yes"),"Complete","Incomplete")))</f>
        <v/>
      </c>
      <c r="O307" s="46" t="str">
        <f aca="false">IF(B307="","",IF(OR(F307="Simbli",F307="Shared folder"),"Yes","No"))</f>
        <v/>
      </c>
      <c r="P307" s="46"/>
    </row>
    <row r="308" customFormat="false" ht="15" hidden="false" customHeight="false" outlineLevel="0" collapsed="false">
      <c r="A308" s="46" t="s">
        <v>2634</v>
      </c>
      <c r="B308" s="46"/>
      <c r="C308" s="49" t="n">
        <f aca="false">IF(OR(B308="",D308=""),0,COUNTIFS($B$2:$B$501,B308,$D$2:$D$501,"&lt;"&amp;D308)+COUNTIFS($B$2:$B$501,B308,$D$2:$D$501,D308,$A$2:$A$501,"&lt;"&amp;A308)+1)</f>
        <v>0</v>
      </c>
      <c r="D308" s="46"/>
      <c r="E308" s="46"/>
      <c r="F308" s="46"/>
      <c r="G308" s="46"/>
      <c r="H308" s="46"/>
      <c r="I308" s="46"/>
      <c r="J308" s="46"/>
      <c r="K308" s="46"/>
      <c r="L308" s="46"/>
      <c r="M308" s="46" t="str">
        <f aca="false">IF(B308="","",IF(H308&lt;&gt;"Yes","No",IF(C308=SUMPRODUCT(MAX(($B$2:$B$501=B308)*($H$2:$H$501="Yes")*$C$2:$C$501)),"Yes","No")))</f>
        <v/>
      </c>
      <c r="N308" s="46" t="str">
        <f aca="false">IF(B308="","",IF(H308&lt;&gt;"Yes","Not frozen",IF(AND(J308="Yes",K308="Yes",L308="Yes"),"Complete","Incomplete")))</f>
        <v/>
      </c>
      <c r="O308" s="46" t="str">
        <f aca="false">IF(B308="","",IF(OR(F308="Simbli",F308="Shared folder"),"Yes","No"))</f>
        <v/>
      </c>
      <c r="P308" s="46"/>
    </row>
    <row r="309" customFormat="false" ht="15" hidden="false" customHeight="false" outlineLevel="0" collapsed="false">
      <c r="A309" s="46" t="s">
        <v>2635</v>
      </c>
      <c r="B309" s="46"/>
      <c r="C309" s="49" t="n">
        <f aca="false">IF(OR(B309="",D309=""),0,COUNTIFS($B$2:$B$501,B309,$D$2:$D$501,"&lt;"&amp;D309)+COUNTIFS($B$2:$B$501,B309,$D$2:$D$501,D309,$A$2:$A$501,"&lt;"&amp;A309)+1)</f>
        <v>0</v>
      </c>
      <c r="D309" s="46"/>
      <c r="E309" s="46"/>
      <c r="F309" s="46"/>
      <c r="G309" s="46"/>
      <c r="H309" s="46"/>
      <c r="I309" s="46"/>
      <c r="J309" s="46"/>
      <c r="K309" s="46"/>
      <c r="L309" s="46"/>
      <c r="M309" s="46" t="str">
        <f aca="false">IF(B309="","",IF(H309&lt;&gt;"Yes","No",IF(C309=SUMPRODUCT(MAX(($B$2:$B$501=B309)*($H$2:$H$501="Yes")*$C$2:$C$501)),"Yes","No")))</f>
        <v/>
      </c>
      <c r="N309" s="46" t="str">
        <f aca="false">IF(B309="","",IF(H309&lt;&gt;"Yes","Not frozen",IF(AND(J309="Yes",K309="Yes",L309="Yes"),"Complete","Incomplete")))</f>
        <v/>
      </c>
      <c r="O309" s="46" t="str">
        <f aca="false">IF(B309="","",IF(OR(F309="Simbli",F309="Shared folder"),"Yes","No"))</f>
        <v/>
      </c>
      <c r="P309" s="46"/>
    </row>
    <row r="310" customFormat="false" ht="15" hidden="false" customHeight="false" outlineLevel="0" collapsed="false">
      <c r="A310" s="46" t="s">
        <v>2636</v>
      </c>
      <c r="B310" s="46"/>
      <c r="C310" s="49" t="n">
        <f aca="false">IF(OR(B310="",D310=""),0,COUNTIFS($B$2:$B$501,B310,$D$2:$D$501,"&lt;"&amp;D310)+COUNTIFS($B$2:$B$501,B310,$D$2:$D$501,D310,$A$2:$A$501,"&lt;"&amp;A310)+1)</f>
        <v>0</v>
      </c>
      <c r="D310" s="46"/>
      <c r="E310" s="46"/>
      <c r="F310" s="46"/>
      <c r="G310" s="46"/>
      <c r="H310" s="46"/>
      <c r="I310" s="46"/>
      <c r="J310" s="46"/>
      <c r="K310" s="46"/>
      <c r="L310" s="46"/>
      <c r="M310" s="46" t="str">
        <f aca="false">IF(B310="","",IF(H310&lt;&gt;"Yes","No",IF(C310=SUMPRODUCT(MAX(($B$2:$B$501=B310)*($H$2:$H$501="Yes")*$C$2:$C$501)),"Yes","No")))</f>
        <v/>
      </c>
      <c r="N310" s="46" t="str">
        <f aca="false">IF(B310="","",IF(H310&lt;&gt;"Yes","Not frozen",IF(AND(J310="Yes",K310="Yes",L310="Yes"),"Complete","Incomplete")))</f>
        <v/>
      </c>
      <c r="O310" s="46" t="str">
        <f aca="false">IF(B310="","",IF(OR(F310="Simbli",F310="Shared folder"),"Yes","No"))</f>
        <v/>
      </c>
      <c r="P310" s="46"/>
    </row>
    <row r="311" customFormat="false" ht="15" hidden="false" customHeight="false" outlineLevel="0" collapsed="false">
      <c r="A311" s="46" t="s">
        <v>2637</v>
      </c>
      <c r="B311" s="46"/>
      <c r="C311" s="49" t="n">
        <f aca="false">IF(OR(B311="",D311=""),0,COUNTIFS($B$2:$B$501,B311,$D$2:$D$501,"&lt;"&amp;D311)+COUNTIFS($B$2:$B$501,B311,$D$2:$D$501,D311,$A$2:$A$501,"&lt;"&amp;A311)+1)</f>
        <v>0</v>
      </c>
      <c r="D311" s="46"/>
      <c r="E311" s="46"/>
      <c r="F311" s="46"/>
      <c r="G311" s="46"/>
      <c r="H311" s="46"/>
      <c r="I311" s="46"/>
      <c r="J311" s="46"/>
      <c r="K311" s="46"/>
      <c r="L311" s="46"/>
      <c r="M311" s="46" t="str">
        <f aca="false">IF(B311="","",IF(H311&lt;&gt;"Yes","No",IF(C311=SUMPRODUCT(MAX(($B$2:$B$501=B311)*($H$2:$H$501="Yes")*$C$2:$C$501)),"Yes","No")))</f>
        <v/>
      </c>
      <c r="N311" s="46" t="str">
        <f aca="false">IF(B311="","",IF(H311&lt;&gt;"Yes","Not frozen",IF(AND(J311="Yes",K311="Yes",L311="Yes"),"Complete","Incomplete")))</f>
        <v/>
      </c>
      <c r="O311" s="46" t="str">
        <f aca="false">IF(B311="","",IF(OR(F311="Simbli",F311="Shared folder"),"Yes","No"))</f>
        <v/>
      </c>
      <c r="P311" s="46"/>
    </row>
    <row r="312" customFormat="false" ht="15" hidden="false" customHeight="false" outlineLevel="0" collapsed="false">
      <c r="A312" s="46" t="s">
        <v>2638</v>
      </c>
      <c r="B312" s="46"/>
      <c r="C312" s="49" t="n">
        <f aca="false">IF(OR(B312="",D312=""),0,COUNTIFS($B$2:$B$501,B312,$D$2:$D$501,"&lt;"&amp;D312)+COUNTIFS($B$2:$B$501,B312,$D$2:$D$501,D312,$A$2:$A$501,"&lt;"&amp;A312)+1)</f>
        <v>0</v>
      </c>
      <c r="D312" s="46"/>
      <c r="E312" s="46"/>
      <c r="F312" s="46"/>
      <c r="G312" s="46"/>
      <c r="H312" s="46"/>
      <c r="I312" s="46"/>
      <c r="J312" s="46"/>
      <c r="K312" s="46"/>
      <c r="L312" s="46"/>
      <c r="M312" s="46" t="str">
        <f aca="false">IF(B312="","",IF(H312&lt;&gt;"Yes","No",IF(C312=SUMPRODUCT(MAX(($B$2:$B$501=B312)*($H$2:$H$501="Yes")*$C$2:$C$501)),"Yes","No")))</f>
        <v/>
      </c>
      <c r="N312" s="46" t="str">
        <f aca="false">IF(B312="","",IF(H312&lt;&gt;"Yes","Not frozen",IF(AND(J312="Yes",K312="Yes",L312="Yes"),"Complete","Incomplete")))</f>
        <v/>
      </c>
      <c r="O312" s="46" t="str">
        <f aca="false">IF(B312="","",IF(OR(F312="Simbli",F312="Shared folder"),"Yes","No"))</f>
        <v/>
      </c>
      <c r="P312" s="46"/>
    </row>
    <row r="313" customFormat="false" ht="15" hidden="false" customHeight="false" outlineLevel="0" collapsed="false">
      <c r="A313" s="46" t="s">
        <v>2639</v>
      </c>
      <c r="B313" s="46"/>
      <c r="C313" s="49" t="n">
        <f aca="false">IF(OR(B313="",D313=""),0,COUNTIFS($B$2:$B$501,B313,$D$2:$D$501,"&lt;"&amp;D313)+COUNTIFS($B$2:$B$501,B313,$D$2:$D$501,D313,$A$2:$A$501,"&lt;"&amp;A313)+1)</f>
        <v>0</v>
      </c>
      <c r="D313" s="46"/>
      <c r="E313" s="46"/>
      <c r="F313" s="46"/>
      <c r="G313" s="46"/>
      <c r="H313" s="46"/>
      <c r="I313" s="46"/>
      <c r="J313" s="46"/>
      <c r="K313" s="46"/>
      <c r="L313" s="46"/>
      <c r="M313" s="46" t="str">
        <f aca="false">IF(B313="","",IF(H313&lt;&gt;"Yes","No",IF(C313=SUMPRODUCT(MAX(($B$2:$B$501=B313)*($H$2:$H$501="Yes")*$C$2:$C$501)),"Yes","No")))</f>
        <v/>
      </c>
      <c r="N313" s="46" t="str">
        <f aca="false">IF(B313="","",IF(H313&lt;&gt;"Yes","Not frozen",IF(AND(J313="Yes",K313="Yes",L313="Yes"),"Complete","Incomplete")))</f>
        <v/>
      </c>
      <c r="O313" s="46" t="str">
        <f aca="false">IF(B313="","",IF(OR(F313="Simbli",F313="Shared folder"),"Yes","No"))</f>
        <v/>
      </c>
      <c r="P313" s="46"/>
    </row>
    <row r="314" customFormat="false" ht="15" hidden="false" customHeight="false" outlineLevel="0" collapsed="false">
      <c r="A314" s="46" t="s">
        <v>2640</v>
      </c>
      <c r="B314" s="46"/>
      <c r="C314" s="49" t="n">
        <f aca="false">IF(OR(B314="",D314=""),0,COUNTIFS($B$2:$B$501,B314,$D$2:$D$501,"&lt;"&amp;D314)+COUNTIFS($B$2:$B$501,B314,$D$2:$D$501,D314,$A$2:$A$501,"&lt;"&amp;A314)+1)</f>
        <v>0</v>
      </c>
      <c r="D314" s="46"/>
      <c r="E314" s="46"/>
      <c r="F314" s="46"/>
      <c r="G314" s="46"/>
      <c r="H314" s="46"/>
      <c r="I314" s="46"/>
      <c r="J314" s="46"/>
      <c r="K314" s="46"/>
      <c r="L314" s="46"/>
      <c r="M314" s="46" t="str">
        <f aca="false">IF(B314="","",IF(H314&lt;&gt;"Yes","No",IF(C314=SUMPRODUCT(MAX(($B$2:$B$501=B314)*($H$2:$H$501="Yes")*$C$2:$C$501)),"Yes","No")))</f>
        <v/>
      </c>
      <c r="N314" s="46" t="str">
        <f aca="false">IF(B314="","",IF(H314&lt;&gt;"Yes","Not frozen",IF(AND(J314="Yes",K314="Yes",L314="Yes"),"Complete","Incomplete")))</f>
        <v/>
      </c>
      <c r="O314" s="46" t="str">
        <f aca="false">IF(B314="","",IF(OR(F314="Simbli",F314="Shared folder"),"Yes","No"))</f>
        <v/>
      </c>
      <c r="P314" s="46"/>
    </row>
    <row r="315" customFormat="false" ht="15" hidden="false" customHeight="false" outlineLevel="0" collapsed="false">
      <c r="A315" s="46" t="s">
        <v>2641</v>
      </c>
      <c r="B315" s="46"/>
      <c r="C315" s="49" t="n">
        <f aca="false">IF(OR(B315="",D315=""),0,COUNTIFS($B$2:$B$501,B315,$D$2:$D$501,"&lt;"&amp;D315)+COUNTIFS($B$2:$B$501,B315,$D$2:$D$501,D315,$A$2:$A$501,"&lt;"&amp;A315)+1)</f>
        <v>0</v>
      </c>
      <c r="D315" s="46"/>
      <c r="E315" s="46"/>
      <c r="F315" s="46"/>
      <c r="G315" s="46"/>
      <c r="H315" s="46"/>
      <c r="I315" s="46"/>
      <c r="J315" s="46"/>
      <c r="K315" s="46"/>
      <c r="L315" s="46"/>
      <c r="M315" s="46" t="str">
        <f aca="false">IF(B315="","",IF(H315&lt;&gt;"Yes","No",IF(C315=SUMPRODUCT(MAX(($B$2:$B$501=B315)*($H$2:$H$501="Yes")*$C$2:$C$501)),"Yes","No")))</f>
        <v/>
      </c>
      <c r="N315" s="46" t="str">
        <f aca="false">IF(B315="","",IF(H315&lt;&gt;"Yes","Not frozen",IF(AND(J315="Yes",K315="Yes",L315="Yes"),"Complete","Incomplete")))</f>
        <v/>
      </c>
      <c r="O315" s="46" t="str">
        <f aca="false">IF(B315="","",IF(OR(F315="Simbli",F315="Shared folder"),"Yes","No"))</f>
        <v/>
      </c>
      <c r="P315" s="46"/>
    </row>
    <row r="316" customFormat="false" ht="15" hidden="false" customHeight="false" outlineLevel="0" collapsed="false">
      <c r="A316" s="46" t="s">
        <v>2642</v>
      </c>
      <c r="B316" s="46"/>
      <c r="C316" s="49" t="n">
        <f aca="false">IF(OR(B316="",D316=""),0,COUNTIFS($B$2:$B$501,B316,$D$2:$D$501,"&lt;"&amp;D316)+COUNTIFS($B$2:$B$501,B316,$D$2:$D$501,D316,$A$2:$A$501,"&lt;"&amp;A316)+1)</f>
        <v>0</v>
      </c>
      <c r="D316" s="46"/>
      <c r="E316" s="46"/>
      <c r="F316" s="46"/>
      <c r="G316" s="46"/>
      <c r="H316" s="46"/>
      <c r="I316" s="46"/>
      <c r="J316" s="46"/>
      <c r="K316" s="46"/>
      <c r="L316" s="46"/>
      <c r="M316" s="46" t="str">
        <f aca="false">IF(B316="","",IF(H316&lt;&gt;"Yes","No",IF(C316=SUMPRODUCT(MAX(($B$2:$B$501=B316)*($H$2:$H$501="Yes")*$C$2:$C$501)),"Yes","No")))</f>
        <v/>
      </c>
      <c r="N316" s="46" t="str">
        <f aca="false">IF(B316="","",IF(H316&lt;&gt;"Yes","Not frozen",IF(AND(J316="Yes",K316="Yes",L316="Yes"),"Complete","Incomplete")))</f>
        <v/>
      </c>
      <c r="O316" s="46" t="str">
        <f aca="false">IF(B316="","",IF(OR(F316="Simbli",F316="Shared folder"),"Yes","No"))</f>
        <v/>
      </c>
      <c r="P316" s="46"/>
    </row>
    <row r="317" customFormat="false" ht="15" hidden="false" customHeight="false" outlineLevel="0" collapsed="false">
      <c r="A317" s="46" t="s">
        <v>2643</v>
      </c>
      <c r="B317" s="46"/>
      <c r="C317" s="49" t="n">
        <f aca="false">IF(OR(B317="",D317=""),0,COUNTIFS($B$2:$B$501,B317,$D$2:$D$501,"&lt;"&amp;D317)+COUNTIFS($B$2:$B$501,B317,$D$2:$D$501,D317,$A$2:$A$501,"&lt;"&amp;A317)+1)</f>
        <v>0</v>
      </c>
      <c r="D317" s="46"/>
      <c r="E317" s="46"/>
      <c r="F317" s="46"/>
      <c r="G317" s="46"/>
      <c r="H317" s="46"/>
      <c r="I317" s="46"/>
      <c r="J317" s="46"/>
      <c r="K317" s="46"/>
      <c r="L317" s="46"/>
      <c r="M317" s="46" t="str">
        <f aca="false">IF(B317="","",IF(H317&lt;&gt;"Yes","No",IF(C317=SUMPRODUCT(MAX(($B$2:$B$501=B317)*($H$2:$H$501="Yes")*$C$2:$C$501)),"Yes","No")))</f>
        <v/>
      </c>
      <c r="N317" s="46" t="str">
        <f aca="false">IF(B317="","",IF(H317&lt;&gt;"Yes","Not frozen",IF(AND(J317="Yes",K317="Yes",L317="Yes"),"Complete","Incomplete")))</f>
        <v/>
      </c>
      <c r="O317" s="46" t="str">
        <f aca="false">IF(B317="","",IF(OR(F317="Simbli",F317="Shared folder"),"Yes","No"))</f>
        <v/>
      </c>
      <c r="P317" s="46"/>
    </row>
    <row r="318" customFormat="false" ht="15" hidden="false" customHeight="false" outlineLevel="0" collapsed="false">
      <c r="A318" s="46" t="s">
        <v>2644</v>
      </c>
      <c r="B318" s="46"/>
      <c r="C318" s="49" t="n">
        <f aca="false">IF(OR(B318="",D318=""),0,COUNTIFS($B$2:$B$501,B318,$D$2:$D$501,"&lt;"&amp;D318)+COUNTIFS($B$2:$B$501,B318,$D$2:$D$501,D318,$A$2:$A$501,"&lt;"&amp;A318)+1)</f>
        <v>0</v>
      </c>
      <c r="D318" s="46"/>
      <c r="E318" s="46"/>
      <c r="F318" s="46"/>
      <c r="G318" s="46"/>
      <c r="H318" s="46"/>
      <c r="I318" s="46"/>
      <c r="J318" s="46"/>
      <c r="K318" s="46"/>
      <c r="L318" s="46"/>
      <c r="M318" s="46" t="str">
        <f aca="false">IF(B318="","",IF(H318&lt;&gt;"Yes","No",IF(C318=SUMPRODUCT(MAX(($B$2:$B$501=B318)*($H$2:$H$501="Yes")*$C$2:$C$501)),"Yes","No")))</f>
        <v/>
      </c>
      <c r="N318" s="46" t="str">
        <f aca="false">IF(B318="","",IF(H318&lt;&gt;"Yes","Not frozen",IF(AND(J318="Yes",K318="Yes",L318="Yes"),"Complete","Incomplete")))</f>
        <v/>
      </c>
      <c r="O318" s="46" t="str">
        <f aca="false">IF(B318="","",IF(OR(F318="Simbli",F318="Shared folder"),"Yes","No"))</f>
        <v/>
      </c>
      <c r="P318" s="46"/>
    </row>
    <row r="319" customFormat="false" ht="15" hidden="false" customHeight="false" outlineLevel="0" collapsed="false">
      <c r="A319" s="46" t="s">
        <v>2645</v>
      </c>
      <c r="B319" s="46"/>
      <c r="C319" s="49" t="n">
        <f aca="false">IF(OR(B319="",D319=""),0,COUNTIFS($B$2:$B$501,B319,$D$2:$D$501,"&lt;"&amp;D319)+COUNTIFS($B$2:$B$501,B319,$D$2:$D$501,D319,$A$2:$A$501,"&lt;"&amp;A319)+1)</f>
        <v>0</v>
      </c>
      <c r="D319" s="46"/>
      <c r="E319" s="46"/>
      <c r="F319" s="46"/>
      <c r="G319" s="46"/>
      <c r="H319" s="46"/>
      <c r="I319" s="46"/>
      <c r="J319" s="46"/>
      <c r="K319" s="46"/>
      <c r="L319" s="46"/>
      <c r="M319" s="46" t="str">
        <f aca="false">IF(B319="","",IF(H319&lt;&gt;"Yes","No",IF(C319=SUMPRODUCT(MAX(($B$2:$B$501=B319)*($H$2:$H$501="Yes")*$C$2:$C$501)),"Yes","No")))</f>
        <v/>
      </c>
      <c r="N319" s="46" t="str">
        <f aca="false">IF(B319="","",IF(H319&lt;&gt;"Yes","Not frozen",IF(AND(J319="Yes",K319="Yes",L319="Yes"),"Complete","Incomplete")))</f>
        <v/>
      </c>
      <c r="O319" s="46" t="str">
        <f aca="false">IF(B319="","",IF(OR(F319="Simbli",F319="Shared folder"),"Yes","No"))</f>
        <v/>
      </c>
      <c r="P319" s="46"/>
    </row>
    <row r="320" customFormat="false" ht="15" hidden="false" customHeight="false" outlineLevel="0" collapsed="false">
      <c r="A320" s="46" t="s">
        <v>2646</v>
      </c>
      <c r="B320" s="46"/>
      <c r="C320" s="49" t="n">
        <f aca="false">IF(OR(B320="",D320=""),0,COUNTIFS($B$2:$B$501,B320,$D$2:$D$501,"&lt;"&amp;D320)+COUNTIFS($B$2:$B$501,B320,$D$2:$D$501,D320,$A$2:$A$501,"&lt;"&amp;A320)+1)</f>
        <v>0</v>
      </c>
      <c r="D320" s="46"/>
      <c r="E320" s="46"/>
      <c r="F320" s="46"/>
      <c r="G320" s="46"/>
      <c r="H320" s="46"/>
      <c r="I320" s="46"/>
      <c r="J320" s="46"/>
      <c r="K320" s="46"/>
      <c r="L320" s="46"/>
      <c r="M320" s="46" t="str">
        <f aca="false">IF(B320="","",IF(H320&lt;&gt;"Yes","No",IF(C320=SUMPRODUCT(MAX(($B$2:$B$501=B320)*($H$2:$H$501="Yes")*$C$2:$C$501)),"Yes","No")))</f>
        <v/>
      </c>
      <c r="N320" s="46" t="str">
        <f aca="false">IF(B320="","",IF(H320&lt;&gt;"Yes","Not frozen",IF(AND(J320="Yes",K320="Yes",L320="Yes"),"Complete","Incomplete")))</f>
        <v/>
      </c>
      <c r="O320" s="46" t="str">
        <f aca="false">IF(B320="","",IF(OR(F320="Simbli",F320="Shared folder"),"Yes","No"))</f>
        <v/>
      </c>
      <c r="P320" s="46"/>
    </row>
    <row r="321" customFormat="false" ht="15" hidden="false" customHeight="false" outlineLevel="0" collapsed="false">
      <c r="A321" s="46" t="s">
        <v>2647</v>
      </c>
      <c r="B321" s="46"/>
      <c r="C321" s="49" t="n">
        <f aca="false">IF(OR(B321="",D321=""),0,COUNTIFS($B$2:$B$501,B321,$D$2:$D$501,"&lt;"&amp;D321)+COUNTIFS($B$2:$B$501,B321,$D$2:$D$501,D321,$A$2:$A$501,"&lt;"&amp;A321)+1)</f>
        <v>0</v>
      </c>
      <c r="D321" s="46"/>
      <c r="E321" s="46"/>
      <c r="F321" s="46"/>
      <c r="G321" s="46"/>
      <c r="H321" s="46"/>
      <c r="I321" s="46"/>
      <c r="J321" s="46"/>
      <c r="K321" s="46"/>
      <c r="L321" s="46"/>
      <c r="M321" s="46" t="str">
        <f aca="false">IF(B321="","",IF(H321&lt;&gt;"Yes","No",IF(C321=SUMPRODUCT(MAX(($B$2:$B$501=B321)*($H$2:$H$501="Yes")*$C$2:$C$501)),"Yes","No")))</f>
        <v/>
      </c>
      <c r="N321" s="46" t="str">
        <f aca="false">IF(B321="","",IF(H321&lt;&gt;"Yes","Not frozen",IF(AND(J321="Yes",K321="Yes",L321="Yes"),"Complete","Incomplete")))</f>
        <v/>
      </c>
      <c r="O321" s="46" t="str">
        <f aca="false">IF(B321="","",IF(OR(F321="Simbli",F321="Shared folder"),"Yes","No"))</f>
        <v/>
      </c>
      <c r="P321" s="46"/>
    </row>
    <row r="322" customFormat="false" ht="15" hidden="false" customHeight="false" outlineLevel="0" collapsed="false">
      <c r="A322" s="46" t="s">
        <v>2648</v>
      </c>
      <c r="B322" s="46"/>
      <c r="C322" s="49" t="n">
        <f aca="false">IF(OR(B322="",D322=""),0,COUNTIFS($B$2:$B$501,B322,$D$2:$D$501,"&lt;"&amp;D322)+COUNTIFS($B$2:$B$501,B322,$D$2:$D$501,D322,$A$2:$A$501,"&lt;"&amp;A322)+1)</f>
        <v>0</v>
      </c>
      <c r="D322" s="46"/>
      <c r="E322" s="46"/>
      <c r="F322" s="46"/>
      <c r="G322" s="46"/>
      <c r="H322" s="46"/>
      <c r="I322" s="46"/>
      <c r="J322" s="46"/>
      <c r="K322" s="46"/>
      <c r="L322" s="46"/>
      <c r="M322" s="46" t="str">
        <f aca="false">IF(B322="","",IF(H322&lt;&gt;"Yes","No",IF(C322=SUMPRODUCT(MAX(($B$2:$B$501=B322)*($H$2:$H$501="Yes")*$C$2:$C$501)),"Yes","No")))</f>
        <v/>
      </c>
      <c r="N322" s="46" t="str">
        <f aca="false">IF(B322="","",IF(H322&lt;&gt;"Yes","Not frozen",IF(AND(J322="Yes",K322="Yes",L322="Yes"),"Complete","Incomplete")))</f>
        <v/>
      </c>
      <c r="O322" s="46" t="str">
        <f aca="false">IF(B322="","",IF(OR(F322="Simbli",F322="Shared folder"),"Yes","No"))</f>
        <v/>
      </c>
      <c r="P322" s="46"/>
    </row>
    <row r="323" customFormat="false" ht="15" hidden="false" customHeight="false" outlineLevel="0" collapsed="false">
      <c r="A323" s="46" t="s">
        <v>2649</v>
      </c>
      <c r="B323" s="46"/>
      <c r="C323" s="49" t="n">
        <f aca="false">IF(OR(B323="",D323=""),0,COUNTIFS($B$2:$B$501,B323,$D$2:$D$501,"&lt;"&amp;D323)+COUNTIFS($B$2:$B$501,B323,$D$2:$D$501,D323,$A$2:$A$501,"&lt;"&amp;A323)+1)</f>
        <v>0</v>
      </c>
      <c r="D323" s="46"/>
      <c r="E323" s="46"/>
      <c r="F323" s="46"/>
      <c r="G323" s="46"/>
      <c r="H323" s="46"/>
      <c r="I323" s="46"/>
      <c r="J323" s="46"/>
      <c r="K323" s="46"/>
      <c r="L323" s="46"/>
      <c r="M323" s="46" t="str">
        <f aca="false">IF(B323="","",IF(H323&lt;&gt;"Yes","No",IF(C323=SUMPRODUCT(MAX(($B$2:$B$501=B323)*($H$2:$H$501="Yes")*$C$2:$C$501)),"Yes","No")))</f>
        <v/>
      </c>
      <c r="N323" s="46" t="str">
        <f aca="false">IF(B323="","",IF(H323&lt;&gt;"Yes","Not frozen",IF(AND(J323="Yes",K323="Yes",L323="Yes"),"Complete","Incomplete")))</f>
        <v/>
      </c>
      <c r="O323" s="46" t="str">
        <f aca="false">IF(B323="","",IF(OR(F323="Simbli",F323="Shared folder"),"Yes","No"))</f>
        <v/>
      </c>
      <c r="P323" s="46"/>
    </row>
    <row r="324" customFormat="false" ht="15" hidden="false" customHeight="false" outlineLevel="0" collapsed="false">
      <c r="A324" s="46" t="s">
        <v>2650</v>
      </c>
      <c r="B324" s="46"/>
      <c r="C324" s="49" t="n">
        <f aca="false">IF(OR(B324="",D324=""),0,COUNTIFS($B$2:$B$501,B324,$D$2:$D$501,"&lt;"&amp;D324)+COUNTIFS($B$2:$B$501,B324,$D$2:$D$501,D324,$A$2:$A$501,"&lt;"&amp;A324)+1)</f>
        <v>0</v>
      </c>
      <c r="D324" s="46"/>
      <c r="E324" s="46"/>
      <c r="F324" s="46"/>
      <c r="G324" s="46"/>
      <c r="H324" s="46"/>
      <c r="I324" s="46"/>
      <c r="J324" s="46"/>
      <c r="K324" s="46"/>
      <c r="L324" s="46"/>
      <c r="M324" s="46" t="str">
        <f aca="false">IF(B324="","",IF(H324&lt;&gt;"Yes","No",IF(C324=SUMPRODUCT(MAX(($B$2:$B$501=B324)*($H$2:$H$501="Yes")*$C$2:$C$501)),"Yes","No")))</f>
        <v/>
      </c>
      <c r="N324" s="46" t="str">
        <f aca="false">IF(B324="","",IF(H324&lt;&gt;"Yes","Not frozen",IF(AND(J324="Yes",K324="Yes",L324="Yes"),"Complete","Incomplete")))</f>
        <v/>
      </c>
      <c r="O324" s="46" t="str">
        <f aca="false">IF(B324="","",IF(OR(F324="Simbli",F324="Shared folder"),"Yes","No"))</f>
        <v/>
      </c>
      <c r="P324" s="46"/>
    </row>
    <row r="325" customFormat="false" ht="15" hidden="false" customHeight="false" outlineLevel="0" collapsed="false">
      <c r="A325" s="46" t="s">
        <v>2651</v>
      </c>
      <c r="B325" s="46"/>
      <c r="C325" s="49" t="n">
        <f aca="false">IF(OR(B325="",D325=""),0,COUNTIFS($B$2:$B$501,B325,$D$2:$D$501,"&lt;"&amp;D325)+COUNTIFS($B$2:$B$501,B325,$D$2:$D$501,D325,$A$2:$A$501,"&lt;"&amp;A325)+1)</f>
        <v>0</v>
      </c>
      <c r="D325" s="46"/>
      <c r="E325" s="46"/>
      <c r="F325" s="46"/>
      <c r="G325" s="46"/>
      <c r="H325" s="46"/>
      <c r="I325" s="46"/>
      <c r="J325" s="46"/>
      <c r="K325" s="46"/>
      <c r="L325" s="46"/>
      <c r="M325" s="46" t="str">
        <f aca="false">IF(B325="","",IF(H325&lt;&gt;"Yes","No",IF(C325=SUMPRODUCT(MAX(($B$2:$B$501=B325)*($H$2:$H$501="Yes")*$C$2:$C$501)),"Yes","No")))</f>
        <v/>
      </c>
      <c r="N325" s="46" t="str">
        <f aca="false">IF(B325="","",IF(H325&lt;&gt;"Yes","Not frozen",IF(AND(J325="Yes",K325="Yes",L325="Yes"),"Complete","Incomplete")))</f>
        <v/>
      </c>
      <c r="O325" s="46" t="str">
        <f aca="false">IF(B325="","",IF(OR(F325="Simbli",F325="Shared folder"),"Yes","No"))</f>
        <v/>
      </c>
      <c r="P325" s="46"/>
    </row>
    <row r="326" customFormat="false" ht="15" hidden="false" customHeight="false" outlineLevel="0" collapsed="false">
      <c r="A326" s="46" t="s">
        <v>2652</v>
      </c>
      <c r="B326" s="46"/>
      <c r="C326" s="49" t="n">
        <f aca="false">IF(OR(B326="",D326=""),0,COUNTIFS($B$2:$B$501,B326,$D$2:$D$501,"&lt;"&amp;D326)+COUNTIFS($B$2:$B$501,B326,$D$2:$D$501,D326,$A$2:$A$501,"&lt;"&amp;A326)+1)</f>
        <v>0</v>
      </c>
      <c r="D326" s="46"/>
      <c r="E326" s="46"/>
      <c r="F326" s="46"/>
      <c r="G326" s="46"/>
      <c r="H326" s="46"/>
      <c r="I326" s="46"/>
      <c r="J326" s="46"/>
      <c r="K326" s="46"/>
      <c r="L326" s="46"/>
      <c r="M326" s="46" t="str">
        <f aca="false">IF(B326="","",IF(H326&lt;&gt;"Yes","No",IF(C326=SUMPRODUCT(MAX(($B$2:$B$501=B326)*($H$2:$H$501="Yes")*$C$2:$C$501)),"Yes","No")))</f>
        <v/>
      </c>
      <c r="N326" s="46" t="str">
        <f aca="false">IF(B326="","",IF(H326&lt;&gt;"Yes","Not frozen",IF(AND(J326="Yes",K326="Yes",L326="Yes"),"Complete","Incomplete")))</f>
        <v/>
      </c>
      <c r="O326" s="46" t="str">
        <f aca="false">IF(B326="","",IF(OR(F326="Simbli",F326="Shared folder"),"Yes","No"))</f>
        <v/>
      </c>
      <c r="P326" s="46"/>
    </row>
    <row r="327" customFormat="false" ht="15" hidden="false" customHeight="false" outlineLevel="0" collapsed="false">
      <c r="A327" s="46" t="s">
        <v>2653</v>
      </c>
      <c r="B327" s="46"/>
      <c r="C327" s="49" t="n">
        <f aca="false">IF(OR(B327="",D327=""),0,COUNTIFS($B$2:$B$501,B327,$D$2:$D$501,"&lt;"&amp;D327)+COUNTIFS($B$2:$B$501,B327,$D$2:$D$501,D327,$A$2:$A$501,"&lt;"&amp;A327)+1)</f>
        <v>0</v>
      </c>
      <c r="D327" s="46"/>
      <c r="E327" s="46"/>
      <c r="F327" s="46"/>
      <c r="G327" s="46"/>
      <c r="H327" s="46"/>
      <c r="I327" s="46"/>
      <c r="J327" s="46"/>
      <c r="K327" s="46"/>
      <c r="L327" s="46"/>
      <c r="M327" s="46" t="str">
        <f aca="false">IF(B327="","",IF(H327&lt;&gt;"Yes","No",IF(C327=SUMPRODUCT(MAX(($B$2:$B$501=B327)*($H$2:$H$501="Yes")*$C$2:$C$501)),"Yes","No")))</f>
        <v/>
      </c>
      <c r="N327" s="46" t="str">
        <f aca="false">IF(B327="","",IF(H327&lt;&gt;"Yes","Not frozen",IF(AND(J327="Yes",K327="Yes",L327="Yes"),"Complete","Incomplete")))</f>
        <v/>
      </c>
      <c r="O327" s="46" t="str">
        <f aca="false">IF(B327="","",IF(OR(F327="Simbli",F327="Shared folder"),"Yes","No"))</f>
        <v/>
      </c>
      <c r="P327" s="46"/>
    </row>
    <row r="328" customFormat="false" ht="15" hidden="false" customHeight="false" outlineLevel="0" collapsed="false">
      <c r="A328" s="46" t="s">
        <v>2654</v>
      </c>
      <c r="B328" s="46"/>
      <c r="C328" s="49" t="n">
        <f aca="false">IF(OR(B328="",D328=""),0,COUNTIFS($B$2:$B$501,B328,$D$2:$D$501,"&lt;"&amp;D328)+COUNTIFS($B$2:$B$501,B328,$D$2:$D$501,D328,$A$2:$A$501,"&lt;"&amp;A328)+1)</f>
        <v>0</v>
      </c>
      <c r="D328" s="46"/>
      <c r="E328" s="46"/>
      <c r="F328" s="46"/>
      <c r="G328" s="46"/>
      <c r="H328" s="46"/>
      <c r="I328" s="46"/>
      <c r="J328" s="46"/>
      <c r="K328" s="46"/>
      <c r="L328" s="46"/>
      <c r="M328" s="46" t="str">
        <f aca="false">IF(B328="","",IF(H328&lt;&gt;"Yes","No",IF(C328=SUMPRODUCT(MAX(($B$2:$B$501=B328)*($H$2:$H$501="Yes")*$C$2:$C$501)),"Yes","No")))</f>
        <v/>
      </c>
      <c r="N328" s="46" t="str">
        <f aca="false">IF(B328="","",IF(H328&lt;&gt;"Yes","Not frozen",IF(AND(J328="Yes",K328="Yes",L328="Yes"),"Complete","Incomplete")))</f>
        <v/>
      </c>
      <c r="O328" s="46" t="str">
        <f aca="false">IF(B328="","",IF(OR(F328="Simbli",F328="Shared folder"),"Yes","No"))</f>
        <v/>
      </c>
      <c r="P328" s="46"/>
    </row>
    <row r="329" customFormat="false" ht="15" hidden="false" customHeight="false" outlineLevel="0" collapsed="false">
      <c r="A329" s="46" t="s">
        <v>2655</v>
      </c>
      <c r="B329" s="46"/>
      <c r="C329" s="49" t="n">
        <f aca="false">IF(OR(B329="",D329=""),0,COUNTIFS($B$2:$B$501,B329,$D$2:$D$501,"&lt;"&amp;D329)+COUNTIFS($B$2:$B$501,B329,$D$2:$D$501,D329,$A$2:$A$501,"&lt;"&amp;A329)+1)</f>
        <v>0</v>
      </c>
      <c r="D329" s="46"/>
      <c r="E329" s="46"/>
      <c r="F329" s="46"/>
      <c r="G329" s="46"/>
      <c r="H329" s="46"/>
      <c r="I329" s="46"/>
      <c r="J329" s="46"/>
      <c r="K329" s="46"/>
      <c r="L329" s="46"/>
      <c r="M329" s="46" t="str">
        <f aca="false">IF(B329="","",IF(H329&lt;&gt;"Yes","No",IF(C329=SUMPRODUCT(MAX(($B$2:$B$501=B329)*($H$2:$H$501="Yes")*$C$2:$C$501)),"Yes","No")))</f>
        <v/>
      </c>
      <c r="N329" s="46" t="str">
        <f aca="false">IF(B329="","",IF(H329&lt;&gt;"Yes","Not frozen",IF(AND(J329="Yes",K329="Yes",L329="Yes"),"Complete","Incomplete")))</f>
        <v/>
      </c>
      <c r="O329" s="46" t="str">
        <f aca="false">IF(B329="","",IF(OR(F329="Simbli",F329="Shared folder"),"Yes","No"))</f>
        <v/>
      </c>
      <c r="P329" s="46"/>
    </row>
    <row r="330" customFormat="false" ht="15" hidden="false" customHeight="false" outlineLevel="0" collapsed="false">
      <c r="A330" s="46" t="s">
        <v>2656</v>
      </c>
      <c r="B330" s="46"/>
      <c r="C330" s="49" t="n">
        <f aca="false">IF(OR(B330="",D330=""),0,COUNTIFS($B$2:$B$501,B330,$D$2:$D$501,"&lt;"&amp;D330)+COUNTIFS($B$2:$B$501,B330,$D$2:$D$501,D330,$A$2:$A$501,"&lt;"&amp;A330)+1)</f>
        <v>0</v>
      </c>
      <c r="D330" s="46"/>
      <c r="E330" s="46"/>
      <c r="F330" s="46"/>
      <c r="G330" s="46"/>
      <c r="H330" s="46"/>
      <c r="I330" s="46"/>
      <c r="J330" s="46"/>
      <c r="K330" s="46"/>
      <c r="L330" s="46"/>
      <c r="M330" s="46" t="str">
        <f aca="false">IF(B330="","",IF(H330&lt;&gt;"Yes","No",IF(C330=SUMPRODUCT(MAX(($B$2:$B$501=B330)*($H$2:$H$501="Yes")*$C$2:$C$501)),"Yes","No")))</f>
        <v/>
      </c>
      <c r="N330" s="46" t="str">
        <f aca="false">IF(B330="","",IF(H330&lt;&gt;"Yes","Not frozen",IF(AND(J330="Yes",K330="Yes",L330="Yes"),"Complete","Incomplete")))</f>
        <v/>
      </c>
      <c r="O330" s="46" t="str">
        <f aca="false">IF(B330="","",IF(OR(F330="Simbli",F330="Shared folder"),"Yes","No"))</f>
        <v/>
      </c>
      <c r="P330" s="46"/>
    </row>
    <row r="331" customFormat="false" ht="15" hidden="false" customHeight="false" outlineLevel="0" collapsed="false">
      <c r="A331" s="46" t="s">
        <v>2657</v>
      </c>
      <c r="B331" s="46"/>
      <c r="C331" s="49" t="n">
        <f aca="false">IF(OR(B331="",D331=""),0,COUNTIFS($B$2:$B$501,B331,$D$2:$D$501,"&lt;"&amp;D331)+COUNTIFS($B$2:$B$501,B331,$D$2:$D$501,D331,$A$2:$A$501,"&lt;"&amp;A331)+1)</f>
        <v>0</v>
      </c>
      <c r="D331" s="46"/>
      <c r="E331" s="46"/>
      <c r="F331" s="46"/>
      <c r="G331" s="46"/>
      <c r="H331" s="46"/>
      <c r="I331" s="46"/>
      <c r="J331" s="46"/>
      <c r="K331" s="46"/>
      <c r="L331" s="46"/>
      <c r="M331" s="46" t="str">
        <f aca="false">IF(B331="","",IF(H331&lt;&gt;"Yes","No",IF(C331=SUMPRODUCT(MAX(($B$2:$B$501=B331)*($H$2:$H$501="Yes")*$C$2:$C$501)),"Yes","No")))</f>
        <v/>
      </c>
      <c r="N331" s="46" t="str">
        <f aca="false">IF(B331="","",IF(H331&lt;&gt;"Yes","Not frozen",IF(AND(J331="Yes",K331="Yes",L331="Yes"),"Complete","Incomplete")))</f>
        <v/>
      </c>
      <c r="O331" s="46" t="str">
        <f aca="false">IF(B331="","",IF(OR(F331="Simbli",F331="Shared folder"),"Yes","No"))</f>
        <v/>
      </c>
      <c r="P331" s="46"/>
    </row>
    <row r="332" customFormat="false" ht="15" hidden="false" customHeight="false" outlineLevel="0" collapsed="false">
      <c r="A332" s="46" t="s">
        <v>2658</v>
      </c>
      <c r="B332" s="46"/>
      <c r="C332" s="49" t="n">
        <f aca="false">IF(OR(B332="",D332=""),0,COUNTIFS($B$2:$B$501,B332,$D$2:$D$501,"&lt;"&amp;D332)+COUNTIFS($B$2:$B$501,B332,$D$2:$D$501,D332,$A$2:$A$501,"&lt;"&amp;A332)+1)</f>
        <v>0</v>
      </c>
      <c r="D332" s="46"/>
      <c r="E332" s="46"/>
      <c r="F332" s="46"/>
      <c r="G332" s="46"/>
      <c r="H332" s="46"/>
      <c r="I332" s="46"/>
      <c r="J332" s="46"/>
      <c r="K332" s="46"/>
      <c r="L332" s="46"/>
      <c r="M332" s="46" t="str">
        <f aca="false">IF(B332="","",IF(H332&lt;&gt;"Yes","No",IF(C332=SUMPRODUCT(MAX(($B$2:$B$501=B332)*($H$2:$H$501="Yes")*$C$2:$C$501)),"Yes","No")))</f>
        <v/>
      </c>
      <c r="N332" s="46" t="str">
        <f aca="false">IF(B332="","",IF(H332&lt;&gt;"Yes","Not frozen",IF(AND(J332="Yes",K332="Yes",L332="Yes"),"Complete","Incomplete")))</f>
        <v/>
      </c>
      <c r="O332" s="46" t="str">
        <f aca="false">IF(B332="","",IF(OR(F332="Simbli",F332="Shared folder"),"Yes","No"))</f>
        <v/>
      </c>
      <c r="P332" s="46"/>
    </row>
    <row r="333" customFormat="false" ht="15" hidden="false" customHeight="false" outlineLevel="0" collapsed="false">
      <c r="A333" s="46" t="s">
        <v>2659</v>
      </c>
      <c r="B333" s="46"/>
      <c r="C333" s="49" t="n">
        <f aca="false">IF(OR(B333="",D333=""),0,COUNTIFS($B$2:$B$501,B333,$D$2:$D$501,"&lt;"&amp;D333)+COUNTIFS($B$2:$B$501,B333,$D$2:$D$501,D333,$A$2:$A$501,"&lt;"&amp;A333)+1)</f>
        <v>0</v>
      </c>
      <c r="D333" s="46"/>
      <c r="E333" s="46"/>
      <c r="F333" s="46"/>
      <c r="G333" s="46"/>
      <c r="H333" s="46"/>
      <c r="I333" s="46"/>
      <c r="J333" s="46"/>
      <c r="K333" s="46"/>
      <c r="L333" s="46"/>
      <c r="M333" s="46" t="str">
        <f aca="false">IF(B333="","",IF(H333&lt;&gt;"Yes","No",IF(C333=SUMPRODUCT(MAX(($B$2:$B$501=B333)*($H$2:$H$501="Yes")*$C$2:$C$501)),"Yes","No")))</f>
        <v/>
      </c>
      <c r="N333" s="46" t="str">
        <f aca="false">IF(B333="","",IF(H333&lt;&gt;"Yes","Not frozen",IF(AND(J333="Yes",K333="Yes",L333="Yes"),"Complete","Incomplete")))</f>
        <v/>
      </c>
      <c r="O333" s="46" t="str">
        <f aca="false">IF(B333="","",IF(OR(F333="Simbli",F333="Shared folder"),"Yes","No"))</f>
        <v/>
      </c>
      <c r="P333" s="46"/>
    </row>
    <row r="334" customFormat="false" ht="15" hidden="false" customHeight="false" outlineLevel="0" collapsed="false">
      <c r="A334" s="46" t="s">
        <v>2660</v>
      </c>
      <c r="B334" s="46"/>
      <c r="C334" s="49" t="n">
        <f aca="false">IF(OR(B334="",D334=""),0,COUNTIFS($B$2:$B$501,B334,$D$2:$D$501,"&lt;"&amp;D334)+COUNTIFS($B$2:$B$501,B334,$D$2:$D$501,D334,$A$2:$A$501,"&lt;"&amp;A334)+1)</f>
        <v>0</v>
      </c>
      <c r="D334" s="46"/>
      <c r="E334" s="46"/>
      <c r="F334" s="46"/>
      <c r="G334" s="46"/>
      <c r="H334" s="46"/>
      <c r="I334" s="46"/>
      <c r="J334" s="46"/>
      <c r="K334" s="46"/>
      <c r="L334" s="46"/>
      <c r="M334" s="46" t="str">
        <f aca="false">IF(B334="","",IF(H334&lt;&gt;"Yes","No",IF(C334=SUMPRODUCT(MAX(($B$2:$B$501=B334)*($H$2:$H$501="Yes")*$C$2:$C$501)),"Yes","No")))</f>
        <v/>
      </c>
      <c r="N334" s="46" t="str">
        <f aca="false">IF(B334="","",IF(H334&lt;&gt;"Yes","Not frozen",IF(AND(J334="Yes",K334="Yes",L334="Yes"),"Complete","Incomplete")))</f>
        <v/>
      </c>
      <c r="O334" s="46" t="str">
        <f aca="false">IF(B334="","",IF(OR(F334="Simbli",F334="Shared folder"),"Yes","No"))</f>
        <v/>
      </c>
      <c r="P334" s="46"/>
    </row>
    <row r="335" customFormat="false" ht="15" hidden="false" customHeight="false" outlineLevel="0" collapsed="false">
      <c r="A335" s="46" t="s">
        <v>2661</v>
      </c>
      <c r="B335" s="46"/>
      <c r="C335" s="49" t="n">
        <f aca="false">IF(OR(B335="",D335=""),0,COUNTIFS($B$2:$B$501,B335,$D$2:$D$501,"&lt;"&amp;D335)+COUNTIFS($B$2:$B$501,B335,$D$2:$D$501,D335,$A$2:$A$501,"&lt;"&amp;A335)+1)</f>
        <v>0</v>
      </c>
      <c r="D335" s="46"/>
      <c r="E335" s="46"/>
      <c r="F335" s="46"/>
      <c r="G335" s="46"/>
      <c r="H335" s="46"/>
      <c r="I335" s="46"/>
      <c r="J335" s="46"/>
      <c r="K335" s="46"/>
      <c r="L335" s="46"/>
      <c r="M335" s="46" t="str">
        <f aca="false">IF(B335="","",IF(H335&lt;&gt;"Yes","No",IF(C335=SUMPRODUCT(MAX(($B$2:$B$501=B335)*($H$2:$H$501="Yes")*$C$2:$C$501)),"Yes","No")))</f>
        <v/>
      </c>
      <c r="N335" s="46" t="str">
        <f aca="false">IF(B335="","",IF(H335&lt;&gt;"Yes","Not frozen",IF(AND(J335="Yes",K335="Yes",L335="Yes"),"Complete","Incomplete")))</f>
        <v/>
      </c>
      <c r="O335" s="46" t="str">
        <f aca="false">IF(B335="","",IF(OR(F335="Simbli",F335="Shared folder"),"Yes","No"))</f>
        <v/>
      </c>
      <c r="P335" s="46"/>
    </row>
    <row r="336" customFormat="false" ht="15" hidden="false" customHeight="false" outlineLevel="0" collapsed="false">
      <c r="A336" s="46" t="s">
        <v>2662</v>
      </c>
      <c r="B336" s="46"/>
      <c r="C336" s="49" t="n">
        <f aca="false">IF(OR(B336="",D336=""),0,COUNTIFS($B$2:$B$501,B336,$D$2:$D$501,"&lt;"&amp;D336)+COUNTIFS($B$2:$B$501,B336,$D$2:$D$501,D336,$A$2:$A$501,"&lt;"&amp;A336)+1)</f>
        <v>0</v>
      </c>
      <c r="D336" s="46"/>
      <c r="E336" s="46"/>
      <c r="F336" s="46"/>
      <c r="G336" s="46"/>
      <c r="H336" s="46"/>
      <c r="I336" s="46"/>
      <c r="J336" s="46"/>
      <c r="K336" s="46"/>
      <c r="L336" s="46"/>
      <c r="M336" s="46" t="str">
        <f aca="false">IF(B336="","",IF(H336&lt;&gt;"Yes","No",IF(C336=SUMPRODUCT(MAX(($B$2:$B$501=B336)*($H$2:$H$501="Yes")*$C$2:$C$501)),"Yes","No")))</f>
        <v/>
      </c>
      <c r="N336" s="46" t="str">
        <f aca="false">IF(B336="","",IF(H336&lt;&gt;"Yes","Not frozen",IF(AND(J336="Yes",K336="Yes",L336="Yes"),"Complete","Incomplete")))</f>
        <v/>
      </c>
      <c r="O336" s="46" t="str">
        <f aca="false">IF(B336="","",IF(OR(F336="Simbli",F336="Shared folder"),"Yes","No"))</f>
        <v/>
      </c>
      <c r="P336" s="46"/>
    </row>
    <row r="337" customFormat="false" ht="15" hidden="false" customHeight="false" outlineLevel="0" collapsed="false">
      <c r="A337" s="46" t="s">
        <v>2663</v>
      </c>
      <c r="B337" s="46"/>
      <c r="C337" s="49" t="n">
        <f aca="false">IF(OR(B337="",D337=""),0,COUNTIFS($B$2:$B$501,B337,$D$2:$D$501,"&lt;"&amp;D337)+COUNTIFS($B$2:$B$501,B337,$D$2:$D$501,D337,$A$2:$A$501,"&lt;"&amp;A337)+1)</f>
        <v>0</v>
      </c>
      <c r="D337" s="46"/>
      <c r="E337" s="46"/>
      <c r="F337" s="46"/>
      <c r="G337" s="46"/>
      <c r="H337" s="46"/>
      <c r="I337" s="46"/>
      <c r="J337" s="46"/>
      <c r="K337" s="46"/>
      <c r="L337" s="46"/>
      <c r="M337" s="46" t="str">
        <f aca="false">IF(B337="","",IF(H337&lt;&gt;"Yes","No",IF(C337=SUMPRODUCT(MAX(($B$2:$B$501=B337)*($H$2:$H$501="Yes")*$C$2:$C$501)),"Yes","No")))</f>
        <v/>
      </c>
      <c r="N337" s="46" t="str">
        <f aca="false">IF(B337="","",IF(H337&lt;&gt;"Yes","Not frozen",IF(AND(J337="Yes",K337="Yes",L337="Yes"),"Complete","Incomplete")))</f>
        <v/>
      </c>
      <c r="O337" s="46" t="str">
        <f aca="false">IF(B337="","",IF(OR(F337="Simbli",F337="Shared folder"),"Yes","No"))</f>
        <v/>
      </c>
      <c r="P337" s="46"/>
    </row>
    <row r="338" customFormat="false" ht="15" hidden="false" customHeight="false" outlineLevel="0" collapsed="false">
      <c r="A338" s="46" t="s">
        <v>2664</v>
      </c>
      <c r="B338" s="46"/>
      <c r="C338" s="49" t="n">
        <f aca="false">IF(OR(B338="",D338=""),0,COUNTIFS($B$2:$B$501,B338,$D$2:$D$501,"&lt;"&amp;D338)+COUNTIFS($B$2:$B$501,B338,$D$2:$D$501,D338,$A$2:$A$501,"&lt;"&amp;A338)+1)</f>
        <v>0</v>
      </c>
      <c r="D338" s="46"/>
      <c r="E338" s="46"/>
      <c r="F338" s="46"/>
      <c r="G338" s="46"/>
      <c r="H338" s="46"/>
      <c r="I338" s="46"/>
      <c r="J338" s="46"/>
      <c r="K338" s="46"/>
      <c r="L338" s="46"/>
      <c r="M338" s="46" t="str">
        <f aca="false">IF(B338="","",IF(H338&lt;&gt;"Yes","No",IF(C338=SUMPRODUCT(MAX(($B$2:$B$501=B338)*($H$2:$H$501="Yes")*$C$2:$C$501)),"Yes","No")))</f>
        <v/>
      </c>
      <c r="N338" s="46" t="str">
        <f aca="false">IF(B338="","",IF(H338&lt;&gt;"Yes","Not frozen",IF(AND(J338="Yes",K338="Yes",L338="Yes"),"Complete","Incomplete")))</f>
        <v/>
      </c>
      <c r="O338" s="46" t="str">
        <f aca="false">IF(B338="","",IF(OR(F338="Simbli",F338="Shared folder"),"Yes","No"))</f>
        <v/>
      </c>
      <c r="P338" s="46"/>
    </row>
    <row r="339" customFormat="false" ht="15" hidden="false" customHeight="false" outlineLevel="0" collapsed="false">
      <c r="A339" s="46" t="s">
        <v>2665</v>
      </c>
      <c r="B339" s="46"/>
      <c r="C339" s="49" t="n">
        <f aca="false">IF(OR(B339="",D339=""),0,COUNTIFS($B$2:$B$501,B339,$D$2:$D$501,"&lt;"&amp;D339)+COUNTIFS($B$2:$B$501,B339,$D$2:$D$501,D339,$A$2:$A$501,"&lt;"&amp;A339)+1)</f>
        <v>0</v>
      </c>
      <c r="D339" s="46"/>
      <c r="E339" s="46"/>
      <c r="F339" s="46"/>
      <c r="G339" s="46"/>
      <c r="H339" s="46"/>
      <c r="I339" s="46"/>
      <c r="J339" s="46"/>
      <c r="K339" s="46"/>
      <c r="L339" s="46"/>
      <c r="M339" s="46" t="str">
        <f aca="false">IF(B339="","",IF(H339&lt;&gt;"Yes","No",IF(C339=SUMPRODUCT(MAX(($B$2:$B$501=B339)*($H$2:$H$501="Yes")*$C$2:$C$501)),"Yes","No")))</f>
        <v/>
      </c>
      <c r="N339" s="46" t="str">
        <f aca="false">IF(B339="","",IF(H339&lt;&gt;"Yes","Not frozen",IF(AND(J339="Yes",K339="Yes",L339="Yes"),"Complete","Incomplete")))</f>
        <v/>
      </c>
      <c r="O339" s="46" t="str">
        <f aca="false">IF(B339="","",IF(OR(F339="Simbli",F339="Shared folder"),"Yes","No"))</f>
        <v/>
      </c>
      <c r="P339" s="46"/>
    </row>
    <row r="340" customFormat="false" ht="15" hidden="false" customHeight="false" outlineLevel="0" collapsed="false">
      <c r="A340" s="46" t="s">
        <v>2666</v>
      </c>
      <c r="B340" s="46"/>
      <c r="C340" s="49" t="n">
        <f aca="false">IF(OR(B340="",D340=""),0,COUNTIFS($B$2:$B$501,B340,$D$2:$D$501,"&lt;"&amp;D340)+COUNTIFS($B$2:$B$501,B340,$D$2:$D$501,D340,$A$2:$A$501,"&lt;"&amp;A340)+1)</f>
        <v>0</v>
      </c>
      <c r="D340" s="46"/>
      <c r="E340" s="46"/>
      <c r="F340" s="46"/>
      <c r="G340" s="46"/>
      <c r="H340" s="46"/>
      <c r="I340" s="46"/>
      <c r="J340" s="46"/>
      <c r="K340" s="46"/>
      <c r="L340" s="46"/>
      <c r="M340" s="46" t="str">
        <f aca="false">IF(B340="","",IF(H340&lt;&gt;"Yes","No",IF(C340=SUMPRODUCT(MAX(($B$2:$B$501=B340)*($H$2:$H$501="Yes")*$C$2:$C$501)),"Yes","No")))</f>
        <v/>
      </c>
      <c r="N340" s="46" t="str">
        <f aca="false">IF(B340="","",IF(H340&lt;&gt;"Yes","Not frozen",IF(AND(J340="Yes",K340="Yes",L340="Yes"),"Complete","Incomplete")))</f>
        <v/>
      </c>
      <c r="O340" s="46" t="str">
        <f aca="false">IF(B340="","",IF(OR(F340="Simbli",F340="Shared folder"),"Yes","No"))</f>
        <v/>
      </c>
      <c r="P340" s="46"/>
    </row>
    <row r="341" customFormat="false" ht="15" hidden="false" customHeight="false" outlineLevel="0" collapsed="false">
      <c r="A341" s="46" t="s">
        <v>2667</v>
      </c>
      <c r="B341" s="46"/>
      <c r="C341" s="49" t="n">
        <f aca="false">IF(OR(B341="",D341=""),0,COUNTIFS($B$2:$B$501,B341,$D$2:$D$501,"&lt;"&amp;D341)+COUNTIFS($B$2:$B$501,B341,$D$2:$D$501,D341,$A$2:$A$501,"&lt;"&amp;A341)+1)</f>
        <v>0</v>
      </c>
      <c r="D341" s="46"/>
      <c r="E341" s="46"/>
      <c r="F341" s="46"/>
      <c r="G341" s="46"/>
      <c r="H341" s="46"/>
      <c r="I341" s="46"/>
      <c r="J341" s="46"/>
      <c r="K341" s="46"/>
      <c r="L341" s="46"/>
      <c r="M341" s="46" t="str">
        <f aca="false">IF(B341="","",IF(H341&lt;&gt;"Yes","No",IF(C341=SUMPRODUCT(MAX(($B$2:$B$501=B341)*($H$2:$H$501="Yes")*$C$2:$C$501)),"Yes","No")))</f>
        <v/>
      </c>
      <c r="N341" s="46" t="str">
        <f aca="false">IF(B341="","",IF(H341&lt;&gt;"Yes","Not frozen",IF(AND(J341="Yes",K341="Yes",L341="Yes"),"Complete","Incomplete")))</f>
        <v/>
      </c>
      <c r="O341" s="46" t="str">
        <f aca="false">IF(B341="","",IF(OR(F341="Simbli",F341="Shared folder"),"Yes","No"))</f>
        <v/>
      </c>
      <c r="P341" s="46"/>
    </row>
    <row r="342" customFormat="false" ht="15" hidden="false" customHeight="false" outlineLevel="0" collapsed="false">
      <c r="A342" s="46" t="s">
        <v>2668</v>
      </c>
      <c r="B342" s="46"/>
      <c r="C342" s="49" t="n">
        <f aca="false">IF(OR(B342="",D342=""),0,COUNTIFS($B$2:$B$501,B342,$D$2:$D$501,"&lt;"&amp;D342)+COUNTIFS($B$2:$B$501,B342,$D$2:$D$501,D342,$A$2:$A$501,"&lt;"&amp;A342)+1)</f>
        <v>0</v>
      </c>
      <c r="D342" s="46"/>
      <c r="E342" s="46"/>
      <c r="F342" s="46"/>
      <c r="G342" s="46"/>
      <c r="H342" s="46"/>
      <c r="I342" s="46"/>
      <c r="J342" s="46"/>
      <c r="K342" s="46"/>
      <c r="L342" s="46"/>
      <c r="M342" s="46" t="str">
        <f aca="false">IF(B342="","",IF(H342&lt;&gt;"Yes","No",IF(C342=SUMPRODUCT(MAX(($B$2:$B$501=B342)*($H$2:$H$501="Yes")*$C$2:$C$501)),"Yes","No")))</f>
        <v/>
      </c>
      <c r="N342" s="46" t="str">
        <f aca="false">IF(B342="","",IF(H342&lt;&gt;"Yes","Not frozen",IF(AND(J342="Yes",K342="Yes",L342="Yes"),"Complete","Incomplete")))</f>
        <v/>
      </c>
      <c r="O342" s="46" t="str">
        <f aca="false">IF(B342="","",IF(OR(F342="Simbli",F342="Shared folder"),"Yes","No"))</f>
        <v/>
      </c>
      <c r="P342" s="46"/>
    </row>
    <row r="343" customFormat="false" ht="15" hidden="false" customHeight="false" outlineLevel="0" collapsed="false">
      <c r="A343" s="46" t="s">
        <v>2669</v>
      </c>
      <c r="B343" s="46"/>
      <c r="C343" s="49" t="n">
        <f aca="false">IF(OR(B343="",D343=""),0,COUNTIFS($B$2:$B$501,B343,$D$2:$D$501,"&lt;"&amp;D343)+COUNTIFS($B$2:$B$501,B343,$D$2:$D$501,D343,$A$2:$A$501,"&lt;"&amp;A343)+1)</f>
        <v>0</v>
      </c>
      <c r="D343" s="46"/>
      <c r="E343" s="46"/>
      <c r="F343" s="46"/>
      <c r="G343" s="46"/>
      <c r="H343" s="46"/>
      <c r="I343" s="46"/>
      <c r="J343" s="46"/>
      <c r="K343" s="46"/>
      <c r="L343" s="46"/>
      <c r="M343" s="46" t="str">
        <f aca="false">IF(B343="","",IF(H343&lt;&gt;"Yes","No",IF(C343=SUMPRODUCT(MAX(($B$2:$B$501=B343)*($H$2:$H$501="Yes")*$C$2:$C$501)),"Yes","No")))</f>
        <v/>
      </c>
      <c r="N343" s="46" t="str">
        <f aca="false">IF(B343="","",IF(H343&lt;&gt;"Yes","Not frozen",IF(AND(J343="Yes",K343="Yes",L343="Yes"),"Complete","Incomplete")))</f>
        <v/>
      </c>
      <c r="O343" s="46" t="str">
        <f aca="false">IF(B343="","",IF(OR(F343="Simbli",F343="Shared folder"),"Yes","No"))</f>
        <v/>
      </c>
      <c r="P343" s="46"/>
    </row>
    <row r="344" customFormat="false" ht="15" hidden="false" customHeight="false" outlineLevel="0" collapsed="false">
      <c r="A344" s="46" t="s">
        <v>2670</v>
      </c>
      <c r="B344" s="46"/>
      <c r="C344" s="49" t="n">
        <f aca="false">IF(OR(B344="",D344=""),0,COUNTIFS($B$2:$B$501,B344,$D$2:$D$501,"&lt;"&amp;D344)+COUNTIFS($B$2:$B$501,B344,$D$2:$D$501,D344,$A$2:$A$501,"&lt;"&amp;A344)+1)</f>
        <v>0</v>
      </c>
      <c r="D344" s="46"/>
      <c r="E344" s="46"/>
      <c r="F344" s="46"/>
      <c r="G344" s="46"/>
      <c r="H344" s="46"/>
      <c r="I344" s="46"/>
      <c r="J344" s="46"/>
      <c r="K344" s="46"/>
      <c r="L344" s="46"/>
      <c r="M344" s="46" t="str">
        <f aca="false">IF(B344="","",IF(H344&lt;&gt;"Yes","No",IF(C344=SUMPRODUCT(MAX(($B$2:$B$501=B344)*($H$2:$H$501="Yes")*$C$2:$C$501)),"Yes","No")))</f>
        <v/>
      </c>
      <c r="N344" s="46" t="str">
        <f aca="false">IF(B344="","",IF(H344&lt;&gt;"Yes","Not frozen",IF(AND(J344="Yes",K344="Yes",L344="Yes"),"Complete","Incomplete")))</f>
        <v/>
      </c>
      <c r="O344" s="46" t="str">
        <f aca="false">IF(B344="","",IF(OR(F344="Simbli",F344="Shared folder"),"Yes","No"))</f>
        <v/>
      </c>
      <c r="P344" s="46"/>
    </row>
    <row r="345" customFormat="false" ht="15" hidden="false" customHeight="false" outlineLevel="0" collapsed="false">
      <c r="A345" s="46" t="s">
        <v>2671</v>
      </c>
      <c r="B345" s="46"/>
      <c r="C345" s="49" t="n">
        <f aca="false">IF(OR(B345="",D345=""),0,COUNTIFS($B$2:$B$501,B345,$D$2:$D$501,"&lt;"&amp;D345)+COUNTIFS($B$2:$B$501,B345,$D$2:$D$501,D345,$A$2:$A$501,"&lt;"&amp;A345)+1)</f>
        <v>0</v>
      </c>
      <c r="D345" s="46"/>
      <c r="E345" s="46"/>
      <c r="F345" s="46"/>
      <c r="G345" s="46"/>
      <c r="H345" s="46"/>
      <c r="I345" s="46"/>
      <c r="J345" s="46"/>
      <c r="K345" s="46"/>
      <c r="L345" s="46"/>
      <c r="M345" s="46" t="str">
        <f aca="false">IF(B345="","",IF(H345&lt;&gt;"Yes","No",IF(C345=SUMPRODUCT(MAX(($B$2:$B$501=B345)*($H$2:$H$501="Yes")*$C$2:$C$501)),"Yes","No")))</f>
        <v/>
      </c>
      <c r="N345" s="46" t="str">
        <f aca="false">IF(B345="","",IF(H345&lt;&gt;"Yes","Not frozen",IF(AND(J345="Yes",K345="Yes",L345="Yes"),"Complete","Incomplete")))</f>
        <v/>
      </c>
      <c r="O345" s="46" t="str">
        <f aca="false">IF(B345="","",IF(OR(F345="Simbli",F345="Shared folder"),"Yes","No"))</f>
        <v/>
      </c>
      <c r="P345" s="46"/>
    </row>
    <row r="346" customFormat="false" ht="15" hidden="false" customHeight="false" outlineLevel="0" collapsed="false">
      <c r="A346" s="46" t="s">
        <v>2672</v>
      </c>
      <c r="B346" s="46"/>
      <c r="C346" s="49" t="n">
        <f aca="false">IF(OR(B346="",D346=""),0,COUNTIFS($B$2:$B$501,B346,$D$2:$D$501,"&lt;"&amp;D346)+COUNTIFS($B$2:$B$501,B346,$D$2:$D$501,D346,$A$2:$A$501,"&lt;"&amp;A346)+1)</f>
        <v>0</v>
      </c>
      <c r="D346" s="46"/>
      <c r="E346" s="46"/>
      <c r="F346" s="46"/>
      <c r="G346" s="46"/>
      <c r="H346" s="46"/>
      <c r="I346" s="46"/>
      <c r="J346" s="46"/>
      <c r="K346" s="46"/>
      <c r="L346" s="46"/>
      <c r="M346" s="46" t="str">
        <f aca="false">IF(B346="","",IF(H346&lt;&gt;"Yes","No",IF(C346=SUMPRODUCT(MAX(($B$2:$B$501=B346)*($H$2:$H$501="Yes")*$C$2:$C$501)),"Yes","No")))</f>
        <v/>
      </c>
      <c r="N346" s="46" t="str">
        <f aca="false">IF(B346="","",IF(H346&lt;&gt;"Yes","Not frozen",IF(AND(J346="Yes",K346="Yes",L346="Yes"),"Complete","Incomplete")))</f>
        <v/>
      </c>
      <c r="O346" s="46" t="str">
        <f aca="false">IF(B346="","",IF(OR(F346="Simbli",F346="Shared folder"),"Yes","No"))</f>
        <v/>
      </c>
      <c r="P346" s="46"/>
    </row>
    <row r="347" customFormat="false" ht="15" hidden="false" customHeight="false" outlineLevel="0" collapsed="false">
      <c r="A347" s="46" t="s">
        <v>2673</v>
      </c>
      <c r="B347" s="46"/>
      <c r="C347" s="49" t="n">
        <f aca="false">IF(OR(B347="",D347=""),0,COUNTIFS($B$2:$B$501,B347,$D$2:$D$501,"&lt;"&amp;D347)+COUNTIFS($B$2:$B$501,B347,$D$2:$D$501,D347,$A$2:$A$501,"&lt;"&amp;A347)+1)</f>
        <v>0</v>
      </c>
      <c r="D347" s="46"/>
      <c r="E347" s="46"/>
      <c r="F347" s="46"/>
      <c r="G347" s="46"/>
      <c r="H347" s="46"/>
      <c r="I347" s="46"/>
      <c r="J347" s="46"/>
      <c r="K347" s="46"/>
      <c r="L347" s="46"/>
      <c r="M347" s="46" t="str">
        <f aca="false">IF(B347="","",IF(H347&lt;&gt;"Yes","No",IF(C347=SUMPRODUCT(MAX(($B$2:$B$501=B347)*($H$2:$H$501="Yes")*$C$2:$C$501)),"Yes","No")))</f>
        <v/>
      </c>
      <c r="N347" s="46" t="str">
        <f aca="false">IF(B347="","",IF(H347&lt;&gt;"Yes","Not frozen",IF(AND(J347="Yes",K347="Yes",L347="Yes"),"Complete","Incomplete")))</f>
        <v/>
      </c>
      <c r="O347" s="46" t="str">
        <f aca="false">IF(B347="","",IF(OR(F347="Simbli",F347="Shared folder"),"Yes","No"))</f>
        <v/>
      </c>
      <c r="P347" s="46"/>
    </row>
    <row r="348" customFormat="false" ht="15" hidden="false" customHeight="false" outlineLevel="0" collapsed="false">
      <c r="A348" s="46" t="s">
        <v>2674</v>
      </c>
      <c r="B348" s="46"/>
      <c r="C348" s="49" t="n">
        <f aca="false">IF(OR(B348="",D348=""),0,COUNTIFS($B$2:$B$501,B348,$D$2:$D$501,"&lt;"&amp;D348)+COUNTIFS($B$2:$B$501,B348,$D$2:$D$501,D348,$A$2:$A$501,"&lt;"&amp;A348)+1)</f>
        <v>0</v>
      </c>
      <c r="D348" s="46"/>
      <c r="E348" s="46"/>
      <c r="F348" s="46"/>
      <c r="G348" s="46"/>
      <c r="H348" s="46"/>
      <c r="I348" s="46"/>
      <c r="J348" s="46"/>
      <c r="K348" s="46"/>
      <c r="L348" s="46"/>
      <c r="M348" s="46" t="str">
        <f aca="false">IF(B348="","",IF(H348&lt;&gt;"Yes","No",IF(C348=SUMPRODUCT(MAX(($B$2:$B$501=B348)*($H$2:$H$501="Yes")*$C$2:$C$501)),"Yes","No")))</f>
        <v/>
      </c>
      <c r="N348" s="46" t="str">
        <f aca="false">IF(B348="","",IF(H348&lt;&gt;"Yes","Not frozen",IF(AND(J348="Yes",K348="Yes",L348="Yes"),"Complete","Incomplete")))</f>
        <v/>
      </c>
      <c r="O348" s="46" t="str">
        <f aca="false">IF(B348="","",IF(OR(F348="Simbli",F348="Shared folder"),"Yes","No"))</f>
        <v/>
      </c>
      <c r="P348" s="46"/>
    </row>
    <row r="349" customFormat="false" ht="15" hidden="false" customHeight="false" outlineLevel="0" collapsed="false">
      <c r="A349" s="46" t="s">
        <v>2675</v>
      </c>
      <c r="B349" s="46"/>
      <c r="C349" s="49" t="n">
        <f aca="false">IF(OR(B349="",D349=""),0,COUNTIFS($B$2:$B$501,B349,$D$2:$D$501,"&lt;"&amp;D349)+COUNTIFS($B$2:$B$501,B349,$D$2:$D$501,D349,$A$2:$A$501,"&lt;"&amp;A349)+1)</f>
        <v>0</v>
      </c>
      <c r="D349" s="46"/>
      <c r="E349" s="46"/>
      <c r="F349" s="46"/>
      <c r="G349" s="46"/>
      <c r="H349" s="46"/>
      <c r="I349" s="46"/>
      <c r="J349" s="46"/>
      <c r="K349" s="46"/>
      <c r="L349" s="46"/>
      <c r="M349" s="46" t="str">
        <f aca="false">IF(B349="","",IF(H349&lt;&gt;"Yes","No",IF(C349=SUMPRODUCT(MAX(($B$2:$B$501=B349)*($H$2:$H$501="Yes")*$C$2:$C$501)),"Yes","No")))</f>
        <v/>
      </c>
      <c r="N349" s="46" t="str">
        <f aca="false">IF(B349="","",IF(H349&lt;&gt;"Yes","Not frozen",IF(AND(J349="Yes",K349="Yes",L349="Yes"),"Complete","Incomplete")))</f>
        <v/>
      </c>
      <c r="O349" s="46" t="str">
        <f aca="false">IF(B349="","",IF(OR(F349="Simbli",F349="Shared folder"),"Yes","No"))</f>
        <v/>
      </c>
      <c r="P349" s="46"/>
    </row>
    <row r="350" customFormat="false" ht="15" hidden="false" customHeight="false" outlineLevel="0" collapsed="false">
      <c r="A350" s="46" t="s">
        <v>2676</v>
      </c>
      <c r="B350" s="46"/>
      <c r="C350" s="49" t="n">
        <f aca="false">IF(OR(B350="",D350=""),0,COUNTIFS($B$2:$B$501,B350,$D$2:$D$501,"&lt;"&amp;D350)+COUNTIFS($B$2:$B$501,B350,$D$2:$D$501,D350,$A$2:$A$501,"&lt;"&amp;A350)+1)</f>
        <v>0</v>
      </c>
      <c r="D350" s="46"/>
      <c r="E350" s="46"/>
      <c r="F350" s="46"/>
      <c r="G350" s="46"/>
      <c r="H350" s="46"/>
      <c r="I350" s="46"/>
      <c r="J350" s="46"/>
      <c r="K350" s="46"/>
      <c r="L350" s="46"/>
      <c r="M350" s="46" t="str">
        <f aca="false">IF(B350="","",IF(H350&lt;&gt;"Yes","No",IF(C350=SUMPRODUCT(MAX(($B$2:$B$501=B350)*($H$2:$H$501="Yes")*$C$2:$C$501)),"Yes","No")))</f>
        <v/>
      </c>
      <c r="N350" s="46" t="str">
        <f aca="false">IF(B350="","",IF(H350&lt;&gt;"Yes","Not frozen",IF(AND(J350="Yes",K350="Yes",L350="Yes"),"Complete","Incomplete")))</f>
        <v/>
      </c>
      <c r="O350" s="46" t="str">
        <f aca="false">IF(B350="","",IF(OR(F350="Simbli",F350="Shared folder"),"Yes","No"))</f>
        <v/>
      </c>
      <c r="P350" s="46"/>
    </row>
    <row r="351" customFormat="false" ht="15" hidden="false" customHeight="false" outlineLevel="0" collapsed="false">
      <c r="A351" s="46" t="s">
        <v>2677</v>
      </c>
      <c r="B351" s="46"/>
      <c r="C351" s="49" t="n">
        <f aca="false">IF(OR(B351="",D351=""),0,COUNTIFS($B$2:$B$501,B351,$D$2:$D$501,"&lt;"&amp;D351)+COUNTIFS($B$2:$B$501,B351,$D$2:$D$501,D351,$A$2:$A$501,"&lt;"&amp;A351)+1)</f>
        <v>0</v>
      </c>
      <c r="D351" s="46"/>
      <c r="E351" s="46"/>
      <c r="F351" s="46"/>
      <c r="G351" s="46"/>
      <c r="H351" s="46"/>
      <c r="I351" s="46"/>
      <c r="J351" s="46"/>
      <c r="K351" s="46"/>
      <c r="L351" s="46"/>
      <c r="M351" s="46" t="str">
        <f aca="false">IF(B351="","",IF(H351&lt;&gt;"Yes","No",IF(C351=SUMPRODUCT(MAX(($B$2:$B$501=B351)*($H$2:$H$501="Yes")*$C$2:$C$501)),"Yes","No")))</f>
        <v/>
      </c>
      <c r="N351" s="46" t="str">
        <f aca="false">IF(B351="","",IF(H351&lt;&gt;"Yes","Not frozen",IF(AND(J351="Yes",K351="Yes",L351="Yes"),"Complete","Incomplete")))</f>
        <v/>
      </c>
      <c r="O351" s="46" t="str">
        <f aca="false">IF(B351="","",IF(OR(F351="Simbli",F351="Shared folder"),"Yes","No"))</f>
        <v/>
      </c>
      <c r="P351" s="46"/>
    </row>
    <row r="352" customFormat="false" ht="15" hidden="false" customHeight="false" outlineLevel="0" collapsed="false">
      <c r="A352" s="46" t="s">
        <v>2678</v>
      </c>
      <c r="B352" s="46"/>
      <c r="C352" s="49" t="n">
        <f aca="false">IF(OR(B352="",D352=""),0,COUNTIFS($B$2:$B$501,B352,$D$2:$D$501,"&lt;"&amp;D352)+COUNTIFS($B$2:$B$501,B352,$D$2:$D$501,D352,$A$2:$A$501,"&lt;"&amp;A352)+1)</f>
        <v>0</v>
      </c>
      <c r="D352" s="46"/>
      <c r="E352" s="46"/>
      <c r="F352" s="46"/>
      <c r="G352" s="46"/>
      <c r="H352" s="46"/>
      <c r="I352" s="46"/>
      <c r="J352" s="46"/>
      <c r="K352" s="46"/>
      <c r="L352" s="46"/>
      <c r="M352" s="46" t="str">
        <f aca="false">IF(B352="","",IF(H352&lt;&gt;"Yes","No",IF(C352=SUMPRODUCT(MAX(($B$2:$B$501=B352)*($H$2:$H$501="Yes")*$C$2:$C$501)),"Yes","No")))</f>
        <v/>
      </c>
      <c r="N352" s="46" t="str">
        <f aca="false">IF(B352="","",IF(H352&lt;&gt;"Yes","Not frozen",IF(AND(J352="Yes",K352="Yes",L352="Yes"),"Complete","Incomplete")))</f>
        <v/>
      </c>
      <c r="O352" s="46" t="str">
        <f aca="false">IF(B352="","",IF(OR(F352="Simbli",F352="Shared folder"),"Yes","No"))</f>
        <v/>
      </c>
      <c r="P352" s="46"/>
    </row>
    <row r="353" customFormat="false" ht="15" hidden="false" customHeight="false" outlineLevel="0" collapsed="false">
      <c r="A353" s="46" t="s">
        <v>2679</v>
      </c>
      <c r="B353" s="46"/>
      <c r="C353" s="49" t="n">
        <f aca="false">IF(OR(B353="",D353=""),0,COUNTIFS($B$2:$B$501,B353,$D$2:$D$501,"&lt;"&amp;D353)+COUNTIFS($B$2:$B$501,B353,$D$2:$D$501,D353,$A$2:$A$501,"&lt;"&amp;A353)+1)</f>
        <v>0</v>
      </c>
      <c r="D353" s="46"/>
      <c r="E353" s="46"/>
      <c r="F353" s="46"/>
      <c r="G353" s="46"/>
      <c r="H353" s="46"/>
      <c r="I353" s="46"/>
      <c r="J353" s="46"/>
      <c r="K353" s="46"/>
      <c r="L353" s="46"/>
      <c r="M353" s="46" t="str">
        <f aca="false">IF(B353="","",IF(H353&lt;&gt;"Yes","No",IF(C353=SUMPRODUCT(MAX(($B$2:$B$501=B353)*($H$2:$H$501="Yes")*$C$2:$C$501)),"Yes","No")))</f>
        <v/>
      </c>
      <c r="N353" s="46" t="str">
        <f aca="false">IF(B353="","",IF(H353&lt;&gt;"Yes","Not frozen",IF(AND(J353="Yes",K353="Yes",L353="Yes"),"Complete","Incomplete")))</f>
        <v/>
      </c>
      <c r="O353" s="46" t="str">
        <f aca="false">IF(B353="","",IF(OR(F353="Simbli",F353="Shared folder"),"Yes","No"))</f>
        <v/>
      </c>
      <c r="P353" s="46"/>
    </row>
    <row r="354" customFormat="false" ht="15" hidden="false" customHeight="false" outlineLevel="0" collapsed="false">
      <c r="A354" s="46" t="s">
        <v>2680</v>
      </c>
      <c r="B354" s="46"/>
      <c r="C354" s="49" t="n">
        <f aca="false">IF(OR(B354="",D354=""),0,COUNTIFS($B$2:$B$501,B354,$D$2:$D$501,"&lt;"&amp;D354)+COUNTIFS($B$2:$B$501,B354,$D$2:$D$501,D354,$A$2:$A$501,"&lt;"&amp;A354)+1)</f>
        <v>0</v>
      </c>
      <c r="D354" s="46"/>
      <c r="E354" s="46"/>
      <c r="F354" s="46"/>
      <c r="G354" s="46"/>
      <c r="H354" s="46"/>
      <c r="I354" s="46"/>
      <c r="J354" s="46"/>
      <c r="K354" s="46"/>
      <c r="L354" s="46"/>
      <c r="M354" s="46" t="str">
        <f aca="false">IF(B354="","",IF(H354&lt;&gt;"Yes","No",IF(C354=SUMPRODUCT(MAX(($B$2:$B$501=B354)*($H$2:$H$501="Yes")*$C$2:$C$501)),"Yes","No")))</f>
        <v/>
      </c>
      <c r="N354" s="46" t="str">
        <f aca="false">IF(B354="","",IF(H354&lt;&gt;"Yes","Not frozen",IF(AND(J354="Yes",K354="Yes",L354="Yes"),"Complete","Incomplete")))</f>
        <v/>
      </c>
      <c r="O354" s="46" t="str">
        <f aca="false">IF(B354="","",IF(OR(F354="Simbli",F354="Shared folder"),"Yes","No"))</f>
        <v/>
      </c>
      <c r="P354" s="46"/>
    </row>
    <row r="355" customFormat="false" ht="15" hidden="false" customHeight="false" outlineLevel="0" collapsed="false">
      <c r="A355" s="46" t="s">
        <v>2681</v>
      </c>
      <c r="B355" s="46"/>
      <c r="C355" s="49" t="n">
        <f aca="false">IF(OR(B355="",D355=""),0,COUNTIFS($B$2:$B$501,B355,$D$2:$D$501,"&lt;"&amp;D355)+COUNTIFS($B$2:$B$501,B355,$D$2:$D$501,D355,$A$2:$A$501,"&lt;"&amp;A355)+1)</f>
        <v>0</v>
      </c>
      <c r="D355" s="46"/>
      <c r="E355" s="46"/>
      <c r="F355" s="46"/>
      <c r="G355" s="46"/>
      <c r="H355" s="46"/>
      <c r="I355" s="46"/>
      <c r="J355" s="46"/>
      <c r="K355" s="46"/>
      <c r="L355" s="46"/>
      <c r="M355" s="46" t="str">
        <f aca="false">IF(B355="","",IF(H355&lt;&gt;"Yes","No",IF(C355=SUMPRODUCT(MAX(($B$2:$B$501=B355)*($H$2:$H$501="Yes")*$C$2:$C$501)),"Yes","No")))</f>
        <v/>
      </c>
      <c r="N355" s="46" t="str">
        <f aca="false">IF(B355="","",IF(H355&lt;&gt;"Yes","Not frozen",IF(AND(J355="Yes",K355="Yes",L355="Yes"),"Complete","Incomplete")))</f>
        <v/>
      </c>
      <c r="O355" s="46" t="str">
        <f aca="false">IF(B355="","",IF(OR(F355="Simbli",F355="Shared folder"),"Yes","No"))</f>
        <v/>
      </c>
      <c r="P355" s="46"/>
    </row>
    <row r="356" customFormat="false" ht="15" hidden="false" customHeight="false" outlineLevel="0" collapsed="false">
      <c r="A356" s="46" t="s">
        <v>2682</v>
      </c>
      <c r="B356" s="46"/>
      <c r="C356" s="49" t="n">
        <f aca="false">IF(OR(B356="",D356=""),0,COUNTIFS($B$2:$B$501,B356,$D$2:$D$501,"&lt;"&amp;D356)+COUNTIFS($B$2:$B$501,B356,$D$2:$D$501,D356,$A$2:$A$501,"&lt;"&amp;A356)+1)</f>
        <v>0</v>
      </c>
      <c r="D356" s="46"/>
      <c r="E356" s="46"/>
      <c r="F356" s="46"/>
      <c r="G356" s="46"/>
      <c r="H356" s="46"/>
      <c r="I356" s="46"/>
      <c r="J356" s="46"/>
      <c r="K356" s="46"/>
      <c r="L356" s="46"/>
      <c r="M356" s="46" t="str">
        <f aca="false">IF(B356="","",IF(H356&lt;&gt;"Yes","No",IF(C356=SUMPRODUCT(MAX(($B$2:$B$501=B356)*($H$2:$H$501="Yes")*$C$2:$C$501)),"Yes","No")))</f>
        <v/>
      </c>
      <c r="N356" s="46" t="str">
        <f aca="false">IF(B356="","",IF(H356&lt;&gt;"Yes","Not frozen",IF(AND(J356="Yes",K356="Yes",L356="Yes"),"Complete","Incomplete")))</f>
        <v/>
      </c>
      <c r="O356" s="46" t="str">
        <f aca="false">IF(B356="","",IF(OR(F356="Simbli",F356="Shared folder"),"Yes","No"))</f>
        <v/>
      </c>
      <c r="P356" s="46"/>
    </row>
    <row r="357" customFormat="false" ht="15" hidden="false" customHeight="false" outlineLevel="0" collapsed="false">
      <c r="A357" s="46" t="s">
        <v>2683</v>
      </c>
      <c r="B357" s="46"/>
      <c r="C357" s="49" t="n">
        <f aca="false">IF(OR(B357="",D357=""),0,COUNTIFS($B$2:$B$501,B357,$D$2:$D$501,"&lt;"&amp;D357)+COUNTIFS($B$2:$B$501,B357,$D$2:$D$501,D357,$A$2:$A$501,"&lt;"&amp;A357)+1)</f>
        <v>0</v>
      </c>
      <c r="D357" s="46"/>
      <c r="E357" s="46"/>
      <c r="F357" s="46"/>
      <c r="G357" s="46"/>
      <c r="H357" s="46"/>
      <c r="I357" s="46"/>
      <c r="J357" s="46"/>
      <c r="K357" s="46"/>
      <c r="L357" s="46"/>
      <c r="M357" s="46" t="str">
        <f aca="false">IF(B357="","",IF(H357&lt;&gt;"Yes","No",IF(C357=SUMPRODUCT(MAX(($B$2:$B$501=B357)*($H$2:$H$501="Yes")*$C$2:$C$501)),"Yes","No")))</f>
        <v/>
      </c>
      <c r="N357" s="46" t="str">
        <f aca="false">IF(B357="","",IF(H357&lt;&gt;"Yes","Not frozen",IF(AND(J357="Yes",K357="Yes",L357="Yes"),"Complete","Incomplete")))</f>
        <v/>
      </c>
      <c r="O357" s="46" t="str">
        <f aca="false">IF(B357="","",IF(OR(F357="Simbli",F357="Shared folder"),"Yes","No"))</f>
        <v/>
      </c>
      <c r="P357" s="46"/>
    </row>
    <row r="358" customFormat="false" ht="15" hidden="false" customHeight="false" outlineLevel="0" collapsed="false">
      <c r="A358" s="46" t="s">
        <v>2684</v>
      </c>
      <c r="B358" s="46"/>
      <c r="C358" s="49" t="n">
        <f aca="false">IF(OR(B358="",D358=""),0,COUNTIFS($B$2:$B$501,B358,$D$2:$D$501,"&lt;"&amp;D358)+COUNTIFS($B$2:$B$501,B358,$D$2:$D$501,D358,$A$2:$A$501,"&lt;"&amp;A358)+1)</f>
        <v>0</v>
      </c>
      <c r="D358" s="46"/>
      <c r="E358" s="46"/>
      <c r="F358" s="46"/>
      <c r="G358" s="46"/>
      <c r="H358" s="46"/>
      <c r="I358" s="46"/>
      <c r="J358" s="46"/>
      <c r="K358" s="46"/>
      <c r="L358" s="46"/>
      <c r="M358" s="46" t="str">
        <f aca="false">IF(B358="","",IF(H358&lt;&gt;"Yes","No",IF(C358=SUMPRODUCT(MAX(($B$2:$B$501=B358)*($H$2:$H$501="Yes")*$C$2:$C$501)),"Yes","No")))</f>
        <v/>
      </c>
      <c r="N358" s="46" t="str">
        <f aca="false">IF(B358="","",IF(H358&lt;&gt;"Yes","Not frozen",IF(AND(J358="Yes",K358="Yes",L358="Yes"),"Complete","Incomplete")))</f>
        <v/>
      </c>
      <c r="O358" s="46" t="str">
        <f aca="false">IF(B358="","",IF(OR(F358="Simbli",F358="Shared folder"),"Yes","No"))</f>
        <v/>
      </c>
      <c r="P358" s="46"/>
    </row>
    <row r="359" customFormat="false" ht="15" hidden="false" customHeight="false" outlineLevel="0" collapsed="false">
      <c r="A359" s="46" t="s">
        <v>2685</v>
      </c>
      <c r="B359" s="46"/>
      <c r="C359" s="49" t="n">
        <f aca="false">IF(OR(B359="",D359=""),0,COUNTIFS($B$2:$B$501,B359,$D$2:$D$501,"&lt;"&amp;D359)+COUNTIFS($B$2:$B$501,B359,$D$2:$D$501,D359,$A$2:$A$501,"&lt;"&amp;A359)+1)</f>
        <v>0</v>
      </c>
      <c r="D359" s="46"/>
      <c r="E359" s="46"/>
      <c r="F359" s="46"/>
      <c r="G359" s="46"/>
      <c r="H359" s="46"/>
      <c r="I359" s="46"/>
      <c r="J359" s="46"/>
      <c r="K359" s="46"/>
      <c r="L359" s="46"/>
      <c r="M359" s="46" t="str">
        <f aca="false">IF(B359="","",IF(H359&lt;&gt;"Yes","No",IF(C359=SUMPRODUCT(MAX(($B$2:$B$501=B359)*($H$2:$H$501="Yes")*$C$2:$C$501)),"Yes","No")))</f>
        <v/>
      </c>
      <c r="N359" s="46" t="str">
        <f aca="false">IF(B359="","",IF(H359&lt;&gt;"Yes","Not frozen",IF(AND(J359="Yes",K359="Yes",L359="Yes"),"Complete","Incomplete")))</f>
        <v/>
      </c>
      <c r="O359" s="46" t="str">
        <f aca="false">IF(B359="","",IF(OR(F359="Simbli",F359="Shared folder"),"Yes","No"))</f>
        <v/>
      </c>
      <c r="P359" s="46"/>
    </row>
    <row r="360" customFormat="false" ht="15" hidden="false" customHeight="false" outlineLevel="0" collapsed="false">
      <c r="A360" s="46" t="s">
        <v>2686</v>
      </c>
      <c r="B360" s="46"/>
      <c r="C360" s="49" t="n">
        <f aca="false">IF(OR(B360="",D360=""),0,COUNTIFS($B$2:$B$501,B360,$D$2:$D$501,"&lt;"&amp;D360)+COUNTIFS($B$2:$B$501,B360,$D$2:$D$501,D360,$A$2:$A$501,"&lt;"&amp;A360)+1)</f>
        <v>0</v>
      </c>
      <c r="D360" s="46"/>
      <c r="E360" s="46"/>
      <c r="F360" s="46"/>
      <c r="G360" s="46"/>
      <c r="H360" s="46"/>
      <c r="I360" s="46"/>
      <c r="J360" s="46"/>
      <c r="K360" s="46"/>
      <c r="L360" s="46"/>
      <c r="M360" s="46" t="str">
        <f aca="false">IF(B360="","",IF(H360&lt;&gt;"Yes","No",IF(C360=SUMPRODUCT(MAX(($B$2:$B$501=B360)*($H$2:$H$501="Yes")*$C$2:$C$501)),"Yes","No")))</f>
        <v/>
      </c>
      <c r="N360" s="46" t="str">
        <f aca="false">IF(B360="","",IF(H360&lt;&gt;"Yes","Not frozen",IF(AND(J360="Yes",K360="Yes",L360="Yes"),"Complete","Incomplete")))</f>
        <v/>
      </c>
      <c r="O360" s="46" t="str">
        <f aca="false">IF(B360="","",IF(OR(F360="Simbli",F360="Shared folder"),"Yes","No"))</f>
        <v/>
      </c>
      <c r="P360" s="46"/>
    </row>
    <row r="361" customFormat="false" ht="15" hidden="false" customHeight="false" outlineLevel="0" collapsed="false">
      <c r="A361" s="46" t="s">
        <v>2687</v>
      </c>
      <c r="B361" s="46"/>
      <c r="C361" s="49" t="n">
        <f aca="false">IF(OR(B361="",D361=""),0,COUNTIFS($B$2:$B$501,B361,$D$2:$D$501,"&lt;"&amp;D361)+COUNTIFS($B$2:$B$501,B361,$D$2:$D$501,D361,$A$2:$A$501,"&lt;"&amp;A361)+1)</f>
        <v>0</v>
      </c>
      <c r="D361" s="46"/>
      <c r="E361" s="46"/>
      <c r="F361" s="46"/>
      <c r="G361" s="46"/>
      <c r="H361" s="46"/>
      <c r="I361" s="46"/>
      <c r="J361" s="46"/>
      <c r="K361" s="46"/>
      <c r="L361" s="46"/>
      <c r="M361" s="46" t="str">
        <f aca="false">IF(B361="","",IF(H361&lt;&gt;"Yes","No",IF(C361=SUMPRODUCT(MAX(($B$2:$B$501=B361)*($H$2:$H$501="Yes")*$C$2:$C$501)),"Yes","No")))</f>
        <v/>
      </c>
      <c r="N361" s="46" t="str">
        <f aca="false">IF(B361="","",IF(H361&lt;&gt;"Yes","Not frozen",IF(AND(J361="Yes",K361="Yes",L361="Yes"),"Complete","Incomplete")))</f>
        <v/>
      </c>
      <c r="O361" s="46" t="str">
        <f aca="false">IF(B361="","",IF(OR(F361="Simbli",F361="Shared folder"),"Yes","No"))</f>
        <v/>
      </c>
      <c r="P361" s="46"/>
    </row>
    <row r="362" customFormat="false" ht="15" hidden="false" customHeight="false" outlineLevel="0" collapsed="false">
      <c r="A362" s="46" t="s">
        <v>2688</v>
      </c>
      <c r="B362" s="46"/>
      <c r="C362" s="49" t="n">
        <f aca="false">IF(OR(B362="",D362=""),0,COUNTIFS($B$2:$B$501,B362,$D$2:$D$501,"&lt;"&amp;D362)+COUNTIFS($B$2:$B$501,B362,$D$2:$D$501,D362,$A$2:$A$501,"&lt;"&amp;A362)+1)</f>
        <v>0</v>
      </c>
      <c r="D362" s="46"/>
      <c r="E362" s="46"/>
      <c r="F362" s="46"/>
      <c r="G362" s="46"/>
      <c r="H362" s="46"/>
      <c r="I362" s="46"/>
      <c r="J362" s="46"/>
      <c r="K362" s="46"/>
      <c r="L362" s="46"/>
      <c r="M362" s="46" t="str">
        <f aca="false">IF(B362="","",IF(H362&lt;&gt;"Yes","No",IF(C362=SUMPRODUCT(MAX(($B$2:$B$501=B362)*($H$2:$H$501="Yes")*$C$2:$C$501)),"Yes","No")))</f>
        <v/>
      </c>
      <c r="N362" s="46" t="str">
        <f aca="false">IF(B362="","",IF(H362&lt;&gt;"Yes","Not frozen",IF(AND(J362="Yes",K362="Yes",L362="Yes"),"Complete","Incomplete")))</f>
        <v/>
      </c>
      <c r="O362" s="46" t="str">
        <f aca="false">IF(B362="","",IF(OR(F362="Simbli",F362="Shared folder"),"Yes","No"))</f>
        <v/>
      </c>
      <c r="P362" s="46"/>
    </row>
    <row r="363" customFormat="false" ht="15" hidden="false" customHeight="false" outlineLevel="0" collapsed="false">
      <c r="A363" s="46" t="s">
        <v>2689</v>
      </c>
      <c r="B363" s="46"/>
      <c r="C363" s="49" t="n">
        <f aca="false">IF(OR(B363="",D363=""),0,COUNTIFS($B$2:$B$501,B363,$D$2:$D$501,"&lt;"&amp;D363)+COUNTIFS($B$2:$B$501,B363,$D$2:$D$501,D363,$A$2:$A$501,"&lt;"&amp;A363)+1)</f>
        <v>0</v>
      </c>
      <c r="D363" s="46"/>
      <c r="E363" s="46"/>
      <c r="F363" s="46"/>
      <c r="G363" s="46"/>
      <c r="H363" s="46"/>
      <c r="I363" s="46"/>
      <c r="J363" s="46"/>
      <c r="K363" s="46"/>
      <c r="L363" s="46"/>
      <c r="M363" s="46" t="str">
        <f aca="false">IF(B363="","",IF(H363&lt;&gt;"Yes","No",IF(C363=SUMPRODUCT(MAX(($B$2:$B$501=B363)*($H$2:$H$501="Yes")*$C$2:$C$501)),"Yes","No")))</f>
        <v/>
      </c>
      <c r="N363" s="46" t="str">
        <f aca="false">IF(B363="","",IF(H363&lt;&gt;"Yes","Not frozen",IF(AND(J363="Yes",K363="Yes",L363="Yes"),"Complete","Incomplete")))</f>
        <v/>
      </c>
      <c r="O363" s="46" t="str">
        <f aca="false">IF(B363="","",IF(OR(F363="Simbli",F363="Shared folder"),"Yes","No"))</f>
        <v/>
      </c>
      <c r="P363" s="46"/>
    </row>
    <row r="364" customFormat="false" ht="15" hidden="false" customHeight="false" outlineLevel="0" collapsed="false">
      <c r="A364" s="46" t="s">
        <v>2690</v>
      </c>
      <c r="B364" s="46"/>
      <c r="C364" s="49" t="n">
        <f aca="false">IF(OR(B364="",D364=""),0,COUNTIFS($B$2:$B$501,B364,$D$2:$D$501,"&lt;"&amp;D364)+COUNTIFS($B$2:$B$501,B364,$D$2:$D$501,D364,$A$2:$A$501,"&lt;"&amp;A364)+1)</f>
        <v>0</v>
      </c>
      <c r="D364" s="46"/>
      <c r="E364" s="46"/>
      <c r="F364" s="46"/>
      <c r="G364" s="46"/>
      <c r="H364" s="46"/>
      <c r="I364" s="46"/>
      <c r="J364" s="46"/>
      <c r="K364" s="46"/>
      <c r="L364" s="46"/>
      <c r="M364" s="46" t="str">
        <f aca="false">IF(B364="","",IF(H364&lt;&gt;"Yes","No",IF(C364=SUMPRODUCT(MAX(($B$2:$B$501=B364)*($H$2:$H$501="Yes")*$C$2:$C$501)),"Yes","No")))</f>
        <v/>
      </c>
      <c r="N364" s="46" t="str">
        <f aca="false">IF(B364="","",IF(H364&lt;&gt;"Yes","Not frozen",IF(AND(J364="Yes",K364="Yes",L364="Yes"),"Complete","Incomplete")))</f>
        <v/>
      </c>
      <c r="O364" s="46" t="str">
        <f aca="false">IF(B364="","",IF(OR(F364="Simbli",F364="Shared folder"),"Yes","No"))</f>
        <v/>
      </c>
      <c r="P364" s="46"/>
    </row>
    <row r="365" customFormat="false" ht="15" hidden="false" customHeight="false" outlineLevel="0" collapsed="false">
      <c r="A365" s="46" t="s">
        <v>2691</v>
      </c>
      <c r="B365" s="46"/>
      <c r="C365" s="49" t="n">
        <f aca="false">IF(OR(B365="",D365=""),0,COUNTIFS($B$2:$B$501,B365,$D$2:$D$501,"&lt;"&amp;D365)+COUNTIFS($B$2:$B$501,B365,$D$2:$D$501,D365,$A$2:$A$501,"&lt;"&amp;A365)+1)</f>
        <v>0</v>
      </c>
      <c r="D365" s="46"/>
      <c r="E365" s="46"/>
      <c r="F365" s="46"/>
      <c r="G365" s="46"/>
      <c r="H365" s="46"/>
      <c r="I365" s="46"/>
      <c r="J365" s="46"/>
      <c r="K365" s="46"/>
      <c r="L365" s="46"/>
      <c r="M365" s="46" t="str">
        <f aca="false">IF(B365="","",IF(H365&lt;&gt;"Yes","No",IF(C365=SUMPRODUCT(MAX(($B$2:$B$501=B365)*($H$2:$H$501="Yes")*$C$2:$C$501)),"Yes","No")))</f>
        <v/>
      </c>
      <c r="N365" s="46" t="str">
        <f aca="false">IF(B365="","",IF(H365&lt;&gt;"Yes","Not frozen",IF(AND(J365="Yes",K365="Yes",L365="Yes"),"Complete","Incomplete")))</f>
        <v/>
      </c>
      <c r="O365" s="46" t="str">
        <f aca="false">IF(B365="","",IF(OR(F365="Simbli",F365="Shared folder"),"Yes","No"))</f>
        <v/>
      </c>
      <c r="P365" s="46"/>
    </row>
    <row r="366" customFormat="false" ht="15" hidden="false" customHeight="false" outlineLevel="0" collapsed="false">
      <c r="A366" s="46" t="s">
        <v>2692</v>
      </c>
      <c r="B366" s="46"/>
      <c r="C366" s="49" t="n">
        <f aca="false">IF(OR(B366="",D366=""),0,COUNTIFS($B$2:$B$501,B366,$D$2:$D$501,"&lt;"&amp;D366)+COUNTIFS($B$2:$B$501,B366,$D$2:$D$501,D366,$A$2:$A$501,"&lt;"&amp;A366)+1)</f>
        <v>0</v>
      </c>
      <c r="D366" s="46"/>
      <c r="E366" s="46"/>
      <c r="F366" s="46"/>
      <c r="G366" s="46"/>
      <c r="H366" s="46"/>
      <c r="I366" s="46"/>
      <c r="J366" s="46"/>
      <c r="K366" s="46"/>
      <c r="L366" s="46"/>
      <c r="M366" s="46" t="str">
        <f aca="false">IF(B366="","",IF(H366&lt;&gt;"Yes","No",IF(C366=SUMPRODUCT(MAX(($B$2:$B$501=B366)*($H$2:$H$501="Yes")*$C$2:$C$501)),"Yes","No")))</f>
        <v/>
      </c>
      <c r="N366" s="46" t="str">
        <f aca="false">IF(B366="","",IF(H366&lt;&gt;"Yes","Not frozen",IF(AND(J366="Yes",K366="Yes",L366="Yes"),"Complete","Incomplete")))</f>
        <v/>
      </c>
      <c r="O366" s="46" t="str">
        <f aca="false">IF(B366="","",IF(OR(F366="Simbli",F366="Shared folder"),"Yes","No"))</f>
        <v/>
      </c>
      <c r="P366" s="46"/>
    </row>
    <row r="367" customFormat="false" ht="15" hidden="false" customHeight="false" outlineLevel="0" collapsed="false">
      <c r="A367" s="46" t="s">
        <v>2693</v>
      </c>
      <c r="B367" s="46"/>
      <c r="C367" s="49" t="n">
        <f aca="false">IF(OR(B367="",D367=""),0,COUNTIFS($B$2:$B$501,B367,$D$2:$D$501,"&lt;"&amp;D367)+COUNTIFS($B$2:$B$501,B367,$D$2:$D$501,D367,$A$2:$A$501,"&lt;"&amp;A367)+1)</f>
        <v>0</v>
      </c>
      <c r="D367" s="46"/>
      <c r="E367" s="46"/>
      <c r="F367" s="46"/>
      <c r="G367" s="46"/>
      <c r="H367" s="46"/>
      <c r="I367" s="46"/>
      <c r="J367" s="46"/>
      <c r="K367" s="46"/>
      <c r="L367" s="46"/>
      <c r="M367" s="46" t="str">
        <f aca="false">IF(B367="","",IF(H367&lt;&gt;"Yes","No",IF(C367=SUMPRODUCT(MAX(($B$2:$B$501=B367)*($H$2:$H$501="Yes")*$C$2:$C$501)),"Yes","No")))</f>
        <v/>
      </c>
      <c r="N367" s="46" t="str">
        <f aca="false">IF(B367="","",IF(H367&lt;&gt;"Yes","Not frozen",IF(AND(J367="Yes",K367="Yes",L367="Yes"),"Complete","Incomplete")))</f>
        <v/>
      </c>
      <c r="O367" s="46" t="str">
        <f aca="false">IF(B367="","",IF(OR(F367="Simbli",F367="Shared folder"),"Yes","No"))</f>
        <v/>
      </c>
      <c r="P367" s="46"/>
    </row>
    <row r="368" customFormat="false" ht="15" hidden="false" customHeight="false" outlineLevel="0" collapsed="false">
      <c r="A368" s="46" t="s">
        <v>2694</v>
      </c>
      <c r="B368" s="46"/>
      <c r="C368" s="49" t="n">
        <f aca="false">IF(OR(B368="",D368=""),0,COUNTIFS($B$2:$B$501,B368,$D$2:$D$501,"&lt;"&amp;D368)+COUNTIFS($B$2:$B$501,B368,$D$2:$D$501,D368,$A$2:$A$501,"&lt;"&amp;A368)+1)</f>
        <v>0</v>
      </c>
      <c r="D368" s="46"/>
      <c r="E368" s="46"/>
      <c r="F368" s="46"/>
      <c r="G368" s="46"/>
      <c r="H368" s="46"/>
      <c r="I368" s="46"/>
      <c r="J368" s="46"/>
      <c r="K368" s="46"/>
      <c r="L368" s="46"/>
      <c r="M368" s="46" t="str">
        <f aca="false">IF(B368="","",IF(H368&lt;&gt;"Yes","No",IF(C368=SUMPRODUCT(MAX(($B$2:$B$501=B368)*($H$2:$H$501="Yes")*$C$2:$C$501)),"Yes","No")))</f>
        <v/>
      </c>
      <c r="N368" s="46" t="str">
        <f aca="false">IF(B368="","",IF(H368&lt;&gt;"Yes","Not frozen",IF(AND(J368="Yes",K368="Yes",L368="Yes"),"Complete","Incomplete")))</f>
        <v/>
      </c>
      <c r="O368" s="46" t="str">
        <f aca="false">IF(B368="","",IF(OR(F368="Simbli",F368="Shared folder"),"Yes","No"))</f>
        <v/>
      </c>
      <c r="P368" s="46"/>
    </row>
    <row r="369" customFormat="false" ht="15" hidden="false" customHeight="false" outlineLevel="0" collapsed="false">
      <c r="A369" s="46" t="s">
        <v>2695</v>
      </c>
      <c r="B369" s="46"/>
      <c r="C369" s="49" t="n">
        <f aca="false">IF(OR(B369="",D369=""),0,COUNTIFS($B$2:$B$501,B369,$D$2:$D$501,"&lt;"&amp;D369)+COUNTIFS($B$2:$B$501,B369,$D$2:$D$501,D369,$A$2:$A$501,"&lt;"&amp;A369)+1)</f>
        <v>0</v>
      </c>
      <c r="D369" s="46"/>
      <c r="E369" s="46"/>
      <c r="F369" s="46"/>
      <c r="G369" s="46"/>
      <c r="H369" s="46"/>
      <c r="I369" s="46"/>
      <c r="J369" s="46"/>
      <c r="K369" s="46"/>
      <c r="L369" s="46"/>
      <c r="M369" s="46" t="str">
        <f aca="false">IF(B369="","",IF(H369&lt;&gt;"Yes","No",IF(C369=SUMPRODUCT(MAX(($B$2:$B$501=B369)*($H$2:$H$501="Yes")*$C$2:$C$501)),"Yes","No")))</f>
        <v/>
      </c>
      <c r="N369" s="46" t="str">
        <f aca="false">IF(B369="","",IF(H369&lt;&gt;"Yes","Not frozen",IF(AND(J369="Yes",K369="Yes",L369="Yes"),"Complete","Incomplete")))</f>
        <v/>
      </c>
      <c r="O369" s="46" t="str">
        <f aca="false">IF(B369="","",IF(OR(F369="Simbli",F369="Shared folder"),"Yes","No"))</f>
        <v/>
      </c>
      <c r="P369" s="46"/>
    </row>
    <row r="370" customFormat="false" ht="15" hidden="false" customHeight="false" outlineLevel="0" collapsed="false">
      <c r="A370" s="46" t="s">
        <v>2696</v>
      </c>
      <c r="B370" s="46"/>
      <c r="C370" s="49" t="n">
        <f aca="false">IF(OR(B370="",D370=""),0,COUNTIFS($B$2:$B$501,B370,$D$2:$D$501,"&lt;"&amp;D370)+COUNTIFS($B$2:$B$501,B370,$D$2:$D$501,D370,$A$2:$A$501,"&lt;"&amp;A370)+1)</f>
        <v>0</v>
      </c>
      <c r="D370" s="46"/>
      <c r="E370" s="46"/>
      <c r="F370" s="46"/>
      <c r="G370" s="46"/>
      <c r="H370" s="46"/>
      <c r="I370" s="46"/>
      <c r="J370" s="46"/>
      <c r="K370" s="46"/>
      <c r="L370" s="46"/>
      <c r="M370" s="46" t="str">
        <f aca="false">IF(B370="","",IF(H370&lt;&gt;"Yes","No",IF(C370=SUMPRODUCT(MAX(($B$2:$B$501=B370)*($H$2:$H$501="Yes")*$C$2:$C$501)),"Yes","No")))</f>
        <v/>
      </c>
      <c r="N370" s="46" t="str">
        <f aca="false">IF(B370="","",IF(H370&lt;&gt;"Yes","Not frozen",IF(AND(J370="Yes",K370="Yes",L370="Yes"),"Complete","Incomplete")))</f>
        <v/>
      </c>
      <c r="O370" s="46" t="str">
        <f aca="false">IF(B370="","",IF(OR(F370="Simbli",F370="Shared folder"),"Yes","No"))</f>
        <v/>
      </c>
      <c r="P370" s="46"/>
    </row>
    <row r="371" customFormat="false" ht="15" hidden="false" customHeight="false" outlineLevel="0" collapsed="false">
      <c r="A371" s="46" t="s">
        <v>2697</v>
      </c>
      <c r="B371" s="46"/>
      <c r="C371" s="49" t="n">
        <f aca="false">IF(OR(B371="",D371=""),0,COUNTIFS($B$2:$B$501,B371,$D$2:$D$501,"&lt;"&amp;D371)+COUNTIFS($B$2:$B$501,B371,$D$2:$D$501,D371,$A$2:$A$501,"&lt;"&amp;A371)+1)</f>
        <v>0</v>
      </c>
      <c r="D371" s="46"/>
      <c r="E371" s="46"/>
      <c r="F371" s="46"/>
      <c r="G371" s="46"/>
      <c r="H371" s="46"/>
      <c r="I371" s="46"/>
      <c r="J371" s="46"/>
      <c r="K371" s="46"/>
      <c r="L371" s="46"/>
      <c r="M371" s="46" t="str">
        <f aca="false">IF(B371="","",IF(H371&lt;&gt;"Yes","No",IF(C371=SUMPRODUCT(MAX(($B$2:$B$501=B371)*($H$2:$H$501="Yes")*$C$2:$C$501)),"Yes","No")))</f>
        <v/>
      </c>
      <c r="N371" s="46" t="str">
        <f aca="false">IF(B371="","",IF(H371&lt;&gt;"Yes","Not frozen",IF(AND(J371="Yes",K371="Yes",L371="Yes"),"Complete","Incomplete")))</f>
        <v/>
      </c>
      <c r="O371" s="46" t="str">
        <f aca="false">IF(B371="","",IF(OR(F371="Simbli",F371="Shared folder"),"Yes","No"))</f>
        <v/>
      </c>
      <c r="P371" s="46"/>
    </row>
    <row r="372" customFormat="false" ht="15" hidden="false" customHeight="false" outlineLevel="0" collapsed="false">
      <c r="A372" s="46" t="s">
        <v>2698</v>
      </c>
      <c r="B372" s="46"/>
      <c r="C372" s="49" t="n">
        <f aca="false">IF(OR(B372="",D372=""),0,COUNTIFS($B$2:$B$501,B372,$D$2:$D$501,"&lt;"&amp;D372)+COUNTIFS($B$2:$B$501,B372,$D$2:$D$501,D372,$A$2:$A$501,"&lt;"&amp;A372)+1)</f>
        <v>0</v>
      </c>
      <c r="D372" s="46"/>
      <c r="E372" s="46"/>
      <c r="F372" s="46"/>
      <c r="G372" s="46"/>
      <c r="H372" s="46"/>
      <c r="I372" s="46"/>
      <c r="J372" s="46"/>
      <c r="K372" s="46"/>
      <c r="L372" s="46"/>
      <c r="M372" s="46" t="str">
        <f aca="false">IF(B372="","",IF(H372&lt;&gt;"Yes","No",IF(C372=SUMPRODUCT(MAX(($B$2:$B$501=B372)*($H$2:$H$501="Yes")*$C$2:$C$501)),"Yes","No")))</f>
        <v/>
      </c>
      <c r="N372" s="46" t="str">
        <f aca="false">IF(B372="","",IF(H372&lt;&gt;"Yes","Not frozen",IF(AND(J372="Yes",K372="Yes",L372="Yes"),"Complete","Incomplete")))</f>
        <v/>
      </c>
      <c r="O372" s="46" t="str">
        <f aca="false">IF(B372="","",IF(OR(F372="Simbli",F372="Shared folder"),"Yes","No"))</f>
        <v/>
      </c>
      <c r="P372" s="46"/>
    </row>
    <row r="373" customFormat="false" ht="15" hidden="false" customHeight="false" outlineLevel="0" collapsed="false">
      <c r="A373" s="46" t="s">
        <v>2699</v>
      </c>
      <c r="B373" s="46"/>
      <c r="C373" s="49" t="n">
        <f aca="false">IF(OR(B373="",D373=""),0,COUNTIFS($B$2:$B$501,B373,$D$2:$D$501,"&lt;"&amp;D373)+COUNTIFS($B$2:$B$501,B373,$D$2:$D$501,D373,$A$2:$A$501,"&lt;"&amp;A373)+1)</f>
        <v>0</v>
      </c>
      <c r="D373" s="46"/>
      <c r="E373" s="46"/>
      <c r="F373" s="46"/>
      <c r="G373" s="46"/>
      <c r="H373" s="46"/>
      <c r="I373" s="46"/>
      <c r="J373" s="46"/>
      <c r="K373" s="46"/>
      <c r="L373" s="46"/>
      <c r="M373" s="46" t="str">
        <f aca="false">IF(B373="","",IF(H373&lt;&gt;"Yes","No",IF(C373=SUMPRODUCT(MAX(($B$2:$B$501=B373)*($H$2:$H$501="Yes")*$C$2:$C$501)),"Yes","No")))</f>
        <v/>
      </c>
      <c r="N373" s="46" t="str">
        <f aca="false">IF(B373="","",IF(H373&lt;&gt;"Yes","Not frozen",IF(AND(J373="Yes",K373="Yes",L373="Yes"),"Complete","Incomplete")))</f>
        <v/>
      </c>
      <c r="O373" s="46" t="str">
        <f aca="false">IF(B373="","",IF(OR(F373="Simbli",F373="Shared folder"),"Yes","No"))</f>
        <v/>
      </c>
      <c r="P373" s="46"/>
    </row>
    <row r="374" customFormat="false" ht="15" hidden="false" customHeight="false" outlineLevel="0" collapsed="false">
      <c r="A374" s="46" t="s">
        <v>2700</v>
      </c>
      <c r="B374" s="46"/>
      <c r="C374" s="49" t="n">
        <f aca="false">IF(OR(B374="",D374=""),0,COUNTIFS($B$2:$B$501,B374,$D$2:$D$501,"&lt;"&amp;D374)+COUNTIFS($B$2:$B$501,B374,$D$2:$D$501,D374,$A$2:$A$501,"&lt;"&amp;A374)+1)</f>
        <v>0</v>
      </c>
      <c r="D374" s="46"/>
      <c r="E374" s="46"/>
      <c r="F374" s="46"/>
      <c r="G374" s="46"/>
      <c r="H374" s="46"/>
      <c r="I374" s="46"/>
      <c r="J374" s="46"/>
      <c r="K374" s="46"/>
      <c r="L374" s="46"/>
      <c r="M374" s="46" t="str">
        <f aca="false">IF(B374="","",IF(H374&lt;&gt;"Yes","No",IF(C374=SUMPRODUCT(MAX(($B$2:$B$501=B374)*($H$2:$H$501="Yes")*$C$2:$C$501)),"Yes","No")))</f>
        <v/>
      </c>
      <c r="N374" s="46" t="str">
        <f aca="false">IF(B374="","",IF(H374&lt;&gt;"Yes","Not frozen",IF(AND(J374="Yes",K374="Yes",L374="Yes"),"Complete","Incomplete")))</f>
        <v/>
      </c>
      <c r="O374" s="46" t="str">
        <f aca="false">IF(B374="","",IF(OR(F374="Simbli",F374="Shared folder"),"Yes","No"))</f>
        <v/>
      </c>
      <c r="P374" s="46"/>
    </row>
    <row r="375" customFormat="false" ht="15" hidden="false" customHeight="false" outlineLevel="0" collapsed="false">
      <c r="A375" s="46" t="s">
        <v>2701</v>
      </c>
      <c r="B375" s="46"/>
      <c r="C375" s="49" t="n">
        <f aca="false">IF(OR(B375="",D375=""),0,COUNTIFS($B$2:$B$501,B375,$D$2:$D$501,"&lt;"&amp;D375)+COUNTIFS($B$2:$B$501,B375,$D$2:$D$501,D375,$A$2:$A$501,"&lt;"&amp;A375)+1)</f>
        <v>0</v>
      </c>
      <c r="D375" s="46"/>
      <c r="E375" s="46"/>
      <c r="F375" s="46"/>
      <c r="G375" s="46"/>
      <c r="H375" s="46"/>
      <c r="I375" s="46"/>
      <c r="J375" s="46"/>
      <c r="K375" s="46"/>
      <c r="L375" s="46"/>
      <c r="M375" s="46" t="str">
        <f aca="false">IF(B375="","",IF(H375&lt;&gt;"Yes","No",IF(C375=SUMPRODUCT(MAX(($B$2:$B$501=B375)*($H$2:$H$501="Yes")*$C$2:$C$501)),"Yes","No")))</f>
        <v/>
      </c>
      <c r="N375" s="46" t="str">
        <f aca="false">IF(B375="","",IF(H375&lt;&gt;"Yes","Not frozen",IF(AND(J375="Yes",K375="Yes",L375="Yes"),"Complete","Incomplete")))</f>
        <v/>
      </c>
      <c r="O375" s="46" t="str">
        <f aca="false">IF(B375="","",IF(OR(F375="Simbli",F375="Shared folder"),"Yes","No"))</f>
        <v/>
      </c>
      <c r="P375" s="46"/>
    </row>
    <row r="376" customFormat="false" ht="15" hidden="false" customHeight="false" outlineLevel="0" collapsed="false">
      <c r="A376" s="46" t="s">
        <v>2702</v>
      </c>
      <c r="B376" s="46"/>
      <c r="C376" s="49" t="n">
        <f aca="false">IF(OR(B376="",D376=""),0,COUNTIFS($B$2:$B$501,B376,$D$2:$D$501,"&lt;"&amp;D376)+COUNTIFS($B$2:$B$501,B376,$D$2:$D$501,D376,$A$2:$A$501,"&lt;"&amp;A376)+1)</f>
        <v>0</v>
      </c>
      <c r="D376" s="46"/>
      <c r="E376" s="46"/>
      <c r="F376" s="46"/>
      <c r="G376" s="46"/>
      <c r="H376" s="46"/>
      <c r="I376" s="46"/>
      <c r="J376" s="46"/>
      <c r="K376" s="46"/>
      <c r="L376" s="46"/>
      <c r="M376" s="46" t="str">
        <f aca="false">IF(B376="","",IF(H376&lt;&gt;"Yes","No",IF(C376=SUMPRODUCT(MAX(($B$2:$B$501=B376)*($H$2:$H$501="Yes")*$C$2:$C$501)),"Yes","No")))</f>
        <v/>
      </c>
      <c r="N376" s="46" t="str">
        <f aca="false">IF(B376="","",IF(H376&lt;&gt;"Yes","Not frozen",IF(AND(J376="Yes",K376="Yes",L376="Yes"),"Complete","Incomplete")))</f>
        <v/>
      </c>
      <c r="O376" s="46" t="str">
        <f aca="false">IF(B376="","",IF(OR(F376="Simbli",F376="Shared folder"),"Yes","No"))</f>
        <v/>
      </c>
      <c r="P376" s="46"/>
    </row>
    <row r="377" customFormat="false" ht="15" hidden="false" customHeight="false" outlineLevel="0" collapsed="false">
      <c r="A377" s="46" t="s">
        <v>2703</v>
      </c>
      <c r="B377" s="46"/>
      <c r="C377" s="49" t="n">
        <f aca="false">IF(OR(B377="",D377=""),0,COUNTIFS($B$2:$B$501,B377,$D$2:$D$501,"&lt;"&amp;D377)+COUNTIFS($B$2:$B$501,B377,$D$2:$D$501,D377,$A$2:$A$501,"&lt;"&amp;A377)+1)</f>
        <v>0</v>
      </c>
      <c r="D377" s="46"/>
      <c r="E377" s="46"/>
      <c r="F377" s="46"/>
      <c r="G377" s="46"/>
      <c r="H377" s="46"/>
      <c r="I377" s="46"/>
      <c r="J377" s="46"/>
      <c r="K377" s="46"/>
      <c r="L377" s="46"/>
      <c r="M377" s="46" t="str">
        <f aca="false">IF(B377="","",IF(H377&lt;&gt;"Yes","No",IF(C377=SUMPRODUCT(MAX(($B$2:$B$501=B377)*($H$2:$H$501="Yes")*$C$2:$C$501)),"Yes","No")))</f>
        <v/>
      </c>
      <c r="N377" s="46" t="str">
        <f aca="false">IF(B377="","",IF(H377&lt;&gt;"Yes","Not frozen",IF(AND(J377="Yes",K377="Yes",L377="Yes"),"Complete","Incomplete")))</f>
        <v/>
      </c>
      <c r="O377" s="46" t="str">
        <f aca="false">IF(B377="","",IF(OR(F377="Simbli",F377="Shared folder"),"Yes","No"))</f>
        <v/>
      </c>
      <c r="P377" s="46"/>
    </row>
    <row r="378" customFormat="false" ht="15" hidden="false" customHeight="false" outlineLevel="0" collapsed="false">
      <c r="A378" s="46" t="s">
        <v>2704</v>
      </c>
      <c r="B378" s="46"/>
      <c r="C378" s="49" t="n">
        <f aca="false">IF(OR(B378="",D378=""),0,COUNTIFS($B$2:$B$501,B378,$D$2:$D$501,"&lt;"&amp;D378)+COUNTIFS($B$2:$B$501,B378,$D$2:$D$501,D378,$A$2:$A$501,"&lt;"&amp;A378)+1)</f>
        <v>0</v>
      </c>
      <c r="D378" s="46"/>
      <c r="E378" s="46"/>
      <c r="F378" s="46"/>
      <c r="G378" s="46"/>
      <c r="H378" s="46"/>
      <c r="I378" s="46"/>
      <c r="J378" s="46"/>
      <c r="K378" s="46"/>
      <c r="L378" s="46"/>
      <c r="M378" s="46" t="str">
        <f aca="false">IF(B378="","",IF(H378&lt;&gt;"Yes","No",IF(C378=SUMPRODUCT(MAX(($B$2:$B$501=B378)*($H$2:$H$501="Yes")*$C$2:$C$501)),"Yes","No")))</f>
        <v/>
      </c>
      <c r="N378" s="46" t="str">
        <f aca="false">IF(B378="","",IF(H378&lt;&gt;"Yes","Not frozen",IF(AND(J378="Yes",K378="Yes",L378="Yes"),"Complete","Incomplete")))</f>
        <v/>
      </c>
      <c r="O378" s="46" t="str">
        <f aca="false">IF(B378="","",IF(OR(F378="Simbli",F378="Shared folder"),"Yes","No"))</f>
        <v/>
      </c>
      <c r="P378" s="46"/>
    </row>
    <row r="379" customFormat="false" ht="15" hidden="false" customHeight="false" outlineLevel="0" collapsed="false">
      <c r="A379" s="46" t="s">
        <v>2705</v>
      </c>
      <c r="B379" s="46"/>
      <c r="C379" s="49" t="n">
        <f aca="false">IF(OR(B379="",D379=""),0,COUNTIFS($B$2:$B$501,B379,$D$2:$D$501,"&lt;"&amp;D379)+COUNTIFS($B$2:$B$501,B379,$D$2:$D$501,D379,$A$2:$A$501,"&lt;"&amp;A379)+1)</f>
        <v>0</v>
      </c>
      <c r="D379" s="46"/>
      <c r="E379" s="46"/>
      <c r="F379" s="46"/>
      <c r="G379" s="46"/>
      <c r="H379" s="46"/>
      <c r="I379" s="46"/>
      <c r="J379" s="46"/>
      <c r="K379" s="46"/>
      <c r="L379" s="46"/>
      <c r="M379" s="46" t="str">
        <f aca="false">IF(B379="","",IF(H379&lt;&gt;"Yes","No",IF(C379=SUMPRODUCT(MAX(($B$2:$B$501=B379)*($H$2:$H$501="Yes")*$C$2:$C$501)),"Yes","No")))</f>
        <v/>
      </c>
      <c r="N379" s="46" t="str">
        <f aca="false">IF(B379="","",IF(H379&lt;&gt;"Yes","Not frozen",IF(AND(J379="Yes",K379="Yes",L379="Yes"),"Complete","Incomplete")))</f>
        <v/>
      </c>
      <c r="O379" s="46" t="str">
        <f aca="false">IF(B379="","",IF(OR(F379="Simbli",F379="Shared folder"),"Yes","No"))</f>
        <v/>
      </c>
      <c r="P379" s="46"/>
    </row>
    <row r="380" customFormat="false" ht="15" hidden="false" customHeight="false" outlineLevel="0" collapsed="false">
      <c r="A380" s="46" t="s">
        <v>2706</v>
      </c>
      <c r="B380" s="46"/>
      <c r="C380" s="49" t="n">
        <f aca="false">IF(OR(B380="",D380=""),0,COUNTIFS($B$2:$B$501,B380,$D$2:$D$501,"&lt;"&amp;D380)+COUNTIFS($B$2:$B$501,B380,$D$2:$D$501,D380,$A$2:$A$501,"&lt;"&amp;A380)+1)</f>
        <v>0</v>
      </c>
      <c r="D380" s="46"/>
      <c r="E380" s="46"/>
      <c r="F380" s="46"/>
      <c r="G380" s="46"/>
      <c r="H380" s="46"/>
      <c r="I380" s="46"/>
      <c r="J380" s="46"/>
      <c r="K380" s="46"/>
      <c r="L380" s="46"/>
      <c r="M380" s="46" t="str">
        <f aca="false">IF(B380="","",IF(H380&lt;&gt;"Yes","No",IF(C380=SUMPRODUCT(MAX(($B$2:$B$501=B380)*($H$2:$H$501="Yes")*$C$2:$C$501)),"Yes","No")))</f>
        <v/>
      </c>
      <c r="N380" s="46" t="str">
        <f aca="false">IF(B380="","",IF(H380&lt;&gt;"Yes","Not frozen",IF(AND(J380="Yes",K380="Yes",L380="Yes"),"Complete","Incomplete")))</f>
        <v/>
      </c>
      <c r="O380" s="46" t="str">
        <f aca="false">IF(B380="","",IF(OR(F380="Simbli",F380="Shared folder"),"Yes","No"))</f>
        <v/>
      </c>
      <c r="P380" s="46"/>
    </row>
    <row r="381" customFormat="false" ht="15" hidden="false" customHeight="false" outlineLevel="0" collapsed="false">
      <c r="A381" s="46" t="s">
        <v>2707</v>
      </c>
      <c r="B381" s="46"/>
      <c r="C381" s="49" t="n">
        <f aca="false">IF(OR(B381="",D381=""),0,COUNTIFS($B$2:$B$501,B381,$D$2:$D$501,"&lt;"&amp;D381)+COUNTIFS($B$2:$B$501,B381,$D$2:$D$501,D381,$A$2:$A$501,"&lt;"&amp;A381)+1)</f>
        <v>0</v>
      </c>
      <c r="D381" s="46"/>
      <c r="E381" s="46"/>
      <c r="F381" s="46"/>
      <c r="G381" s="46"/>
      <c r="H381" s="46"/>
      <c r="I381" s="46"/>
      <c r="J381" s="46"/>
      <c r="K381" s="46"/>
      <c r="L381" s="46"/>
      <c r="M381" s="46" t="str">
        <f aca="false">IF(B381="","",IF(H381&lt;&gt;"Yes","No",IF(C381=SUMPRODUCT(MAX(($B$2:$B$501=B381)*($H$2:$H$501="Yes")*$C$2:$C$501)),"Yes","No")))</f>
        <v/>
      </c>
      <c r="N381" s="46" t="str">
        <f aca="false">IF(B381="","",IF(H381&lt;&gt;"Yes","Not frozen",IF(AND(J381="Yes",K381="Yes",L381="Yes"),"Complete","Incomplete")))</f>
        <v/>
      </c>
      <c r="O381" s="46" t="str">
        <f aca="false">IF(B381="","",IF(OR(F381="Simbli",F381="Shared folder"),"Yes","No"))</f>
        <v/>
      </c>
      <c r="P381" s="46"/>
    </row>
    <row r="382" customFormat="false" ht="15" hidden="false" customHeight="false" outlineLevel="0" collapsed="false">
      <c r="A382" s="46" t="s">
        <v>2708</v>
      </c>
      <c r="B382" s="46"/>
      <c r="C382" s="49" t="n">
        <f aca="false">IF(OR(B382="",D382=""),0,COUNTIFS($B$2:$B$501,B382,$D$2:$D$501,"&lt;"&amp;D382)+COUNTIFS($B$2:$B$501,B382,$D$2:$D$501,D382,$A$2:$A$501,"&lt;"&amp;A382)+1)</f>
        <v>0</v>
      </c>
      <c r="D382" s="46"/>
      <c r="E382" s="46"/>
      <c r="F382" s="46"/>
      <c r="G382" s="46"/>
      <c r="H382" s="46"/>
      <c r="I382" s="46"/>
      <c r="J382" s="46"/>
      <c r="K382" s="46"/>
      <c r="L382" s="46"/>
      <c r="M382" s="46" t="str">
        <f aca="false">IF(B382="","",IF(H382&lt;&gt;"Yes","No",IF(C382=SUMPRODUCT(MAX(($B$2:$B$501=B382)*($H$2:$H$501="Yes")*$C$2:$C$501)),"Yes","No")))</f>
        <v/>
      </c>
      <c r="N382" s="46" t="str">
        <f aca="false">IF(B382="","",IF(H382&lt;&gt;"Yes","Not frozen",IF(AND(J382="Yes",K382="Yes",L382="Yes"),"Complete","Incomplete")))</f>
        <v/>
      </c>
      <c r="O382" s="46" t="str">
        <f aca="false">IF(B382="","",IF(OR(F382="Simbli",F382="Shared folder"),"Yes","No"))</f>
        <v/>
      </c>
      <c r="P382" s="46"/>
    </row>
    <row r="383" customFormat="false" ht="15" hidden="false" customHeight="false" outlineLevel="0" collapsed="false">
      <c r="A383" s="46" t="s">
        <v>2709</v>
      </c>
      <c r="B383" s="46"/>
      <c r="C383" s="49" t="n">
        <f aca="false">IF(OR(B383="",D383=""),0,COUNTIFS($B$2:$B$501,B383,$D$2:$D$501,"&lt;"&amp;D383)+COUNTIFS($B$2:$B$501,B383,$D$2:$D$501,D383,$A$2:$A$501,"&lt;"&amp;A383)+1)</f>
        <v>0</v>
      </c>
      <c r="D383" s="46"/>
      <c r="E383" s="46"/>
      <c r="F383" s="46"/>
      <c r="G383" s="46"/>
      <c r="H383" s="46"/>
      <c r="I383" s="46"/>
      <c r="J383" s="46"/>
      <c r="K383" s="46"/>
      <c r="L383" s="46"/>
      <c r="M383" s="46" t="str">
        <f aca="false">IF(B383="","",IF(H383&lt;&gt;"Yes","No",IF(C383=SUMPRODUCT(MAX(($B$2:$B$501=B383)*($H$2:$H$501="Yes")*$C$2:$C$501)),"Yes","No")))</f>
        <v/>
      </c>
      <c r="N383" s="46" t="str">
        <f aca="false">IF(B383="","",IF(H383&lt;&gt;"Yes","Not frozen",IF(AND(J383="Yes",K383="Yes",L383="Yes"),"Complete","Incomplete")))</f>
        <v/>
      </c>
      <c r="O383" s="46" t="str">
        <f aca="false">IF(B383="","",IF(OR(F383="Simbli",F383="Shared folder"),"Yes","No"))</f>
        <v/>
      </c>
      <c r="P383" s="46"/>
    </row>
    <row r="384" customFormat="false" ht="15" hidden="false" customHeight="false" outlineLevel="0" collapsed="false">
      <c r="A384" s="46" t="s">
        <v>2710</v>
      </c>
      <c r="B384" s="46"/>
      <c r="C384" s="49" t="n">
        <f aca="false">IF(OR(B384="",D384=""),0,COUNTIFS($B$2:$B$501,B384,$D$2:$D$501,"&lt;"&amp;D384)+COUNTIFS($B$2:$B$501,B384,$D$2:$D$501,D384,$A$2:$A$501,"&lt;"&amp;A384)+1)</f>
        <v>0</v>
      </c>
      <c r="D384" s="46"/>
      <c r="E384" s="46"/>
      <c r="F384" s="46"/>
      <c r="G384" s="46"/>
      <c r="H384" s="46"/>
      <c r="I384" s="46"/>
      <c r="J384" s="46"/>
      <c r="K384" s="46"/>
      <c r="L384" s="46"/>
      <c r="M384" s="46" t="str">
        <f aca="false">IF(B384="","",IF(H384&lt;&gt;"Yes","No",IF(C384=SUMPRODUCT(MAX(($B$2:$B$501=B384)*($H$2:$H$501="Yes")*$C$2:$C$501)),"Yes","No")))</f>
        <v/>
      </c>
      <c r="N384" s="46" t="str">
        <f aca="false">IF(B384="","",IF(H384&lt;&gt;"Yes","Not frozen",IF(AND(J384="Yes",K384="Yes",L384="Yes"),"Complete","Incomplete")))</f>
        <v/>
      </c>
      <c r="O384" s="46" t="str">
        <f aca="false">IF(B384="","",IF(OR(F384="Simbli",F384="Shared folder"),"Yes","No"))</f>
        <v/>
      </c>
      <c r="P384" s="46"/>
    </row>
    <row r="385" customFormat="false" ht="15" hidden="false" customHeight="false" outlineLevel="0" collapsed="false">
      <c r="A385" s="46" t="s">
        <v>2711</v>
      </c>
      <c r="B385" s="46"/>
      <c r="C385" s="49" t="n">
        <f aca="false">IF(OR(B385="",D385=""),0,COUNTIFS($B$2:$B$501,B385,$D$2:$D$501,"&lt;"&amp;D385)+COUNTIFS($B$2:$B$501,B385,$D$2:$D$501,D385,$A$2:$A$501,"&lt;"&amp;A385)+1)</f>
        <v>0</v>
      </c>
      <c r="D385" s="46"/>
      <c r="E385" s="46"/>
      <c r="F385" s="46"/>
      <c r="G385" s="46"/>
      <c r="H385" s="46"/>
      <c r="I385" s="46"/>
      <c r="J385" s="46"/>
      <c r="K385" s="46"/>
      <c r="L385" s="46"/>
      <c r="M385" s="46" t="str">
        <f aca="false">IF(B385="","",IF(H385&lt;&gt;"Yes","No",IF(C385=SUMPRODUCT(MAX(($B$2:$B$501=B385)*($H$2:$H$501="Yes")*$C$2:$C$501)),"Yes","No")))</f>
        <v/>
      </c>
      <c r="N385" s="46" t="str">
        <f aca="false">IF(B385="","",IF(H385&lt;&gt;"Yes","Not frozen",IF(AND(J385="Yes",K385="Yes",L385="Yes"),"Complete","Incomplete")))</f>
        <v/>
      </c>
      <c r="O385" s="46" t="str">
        <f aca="false">IF(B385="","",IF(OR(F385="Simbli",F385="Shared folder"),"Yes","No"))</f>
        <v/>
      </c>
      <c r="P385" s="46"/>
    </row>
    <row r="386" customFormat="false" ht="15" hidden="false" customHeight="false" outlineLevel="0" collapsed="false">
      <c r="A386" s="46" t="s">
        <v>2712</v>
      </c>
      <c r="B386" s="46"/>
      <c r="C386" s="49" t="n">
        <f aca="false">IF(OR(B386="",D386=""),0,COUNTIFS($B$2:$B$501,B386,$D$2:$D$501,"&lt;"&amp;D386)+COUNTIFS($B$2:$B$501,B386,$D$2:$D$501,D386,$A$2:$A$501,"&lt;"&amp;A386)+1)</f>
        <v>0</v>
      </c>
      <c r="D386" s="46"/>
      <c r="E386" s="46"/>
      <c r="F386" s="46"/>
      <c r="G386" s="46"/>
      <c r="H386" s="46"/>
      <c r="I386" s="46"/>
      <c r="J386" s="46"/>
      <c r="K386" s="46"/>
      <c r="L386" s="46"/>
      <c r="M386" s="46" t="str">
        <f aca="false">IF(B386="","",IF(H386&lt;&gt;"Yes","No",IF(C386=SUMPRODUCT(MAX(($B$2:$B$501=B386)*($H$2:$H$501="Yes")*$C$2:$C$501)),"Yes","No")))</f>
        <v/>
      </c>
      <c r="N386" s="46" t="str">
        <f aca="false">IF(B386="","",IF(H386&lt;&gt;"Yes","Not frozen",IF(AND(J386="Yes",K386="Yes",L386="Yes"),"Complete","Incomplete")))</f>
        <v/>
      </c>
      <c r="O386" s="46" t="str">
        <f aca="false">IF(B386="","",IF(OR(F386="Simbli",F386="Shared folder"),"Yes","No"))</f>
        <v/>
      </c>
      <c r="P386" s="46"/>
    </row>
    <row r="387" customFormat="false" ht="15" hidden="false" customHeight="false" outlineLevel="0" collapsed="false">
      <c r="A387" s="46" t="s">
        <v>2713</v>
      </c>
      <c r="B387" s="46"/>
      <c r="C387" s="49" t="n">
        <f aca="false">IF(OR(B387="",D387=""),0,COUNTIFS($B$2:$B$501,B387,$D$2:$D$501,"&lt;"&amp;D387)+COUNTIFS($B$2:$B$501,B387,$D$2:$D$501,D387,$A$2:$A$501,"&lt;"&amp;A387)+1)</f>
        <v>0</v>
      </c>
      <c r="D387" s="46"/>
      <c r="E387" s="46"/>
      <c r="F387" s="46"/>
      <c r="G387" s="46"/>
      <c r="H387" s="46"/>
      <c r="I387" s="46"/>
      <c r="J387" s="46"/>
      <c r="K387" s="46"/>
      <c r="L387" s="46"/>
      <c r="M387" s="46" t="str">
        <f aca="false">IF(B387="","",IF(H387&lt;&gt;"Yes","No",IF(C387=SUMPRODUCT(MAX(($B$2:$B$501=B387)*($H$2:$H$501="Yes")*$C$2:$C$501)),"Yes","No")))</f>
        <v/>
      </c>
      <c r="N387" s="46" t="str">
        <f aca="false">IF(B387="","",IF(H387&lt;&gt;"Yes","Not frozen",IF(AND(J387="Yes",K387="Yes",L387="Yes"),"Complete","Incomplete")))</f>
        <v/>
      </c>
      <c r="O387" s="46" t="str">
        <f aca="false">IF(B387="","",IF(OR(F387="Simbli",F387="Shared folder"),"Yes","No"))</f>
        <v/>
      </c>
      <c r="P387" s="46"/>
    </row>
    <row r="388" customFormat="false" ht="15" hidden="false" customHeight="false" outlineLevel="0" collapsed="false">
      <c r="A388" s="46" t="s">
        <v>2714</v>
      </c>
      <c r="B388" s="46"/>
      <c r="C388" s="49" t="n">
        <f aca="false">IF(OR(B388="",D388=""),0,COUNTIFS($B$2:$B$501,B388,$D$2:$D$501,"&lt;"&amp;D388)+COUNTIFS($B$2:$B$501,B388,$D$2:$D$501,D388,$A$2:$A$501,"&lt;"&amp;A388)+1)</f>
        <v>0</v>
      </c>
      <c r="D388" s="46"/>
      <c r="E388" s="46"/>
      <c r="F388" s="46"/>
      <c r="G388" s="46"/>
      <c r="H388" s="46"/>
      <c r="I388" s="46"/>
      <c r="J388" s="46"/>
      <c r="K388" s="46"/>
      <c r="L388" s="46"/>
      <c r="M388" s="46" t="str">
        <f aca="false">IF(B388="","",IF(H388&lt;&gt;"Yes","No",IF(C388=SUMPRODUCT(MAX(($B$2:$B$501=B388)*($H$2:$H$501="Yes")*$C$2:$C$501)),"Yes","No")))</f>
        <v/>
      </c>
      <c r="N388" s="46" t="str">
        <f aca="false">IF(B388="","",IF(H388&lt;&gt;"Yes","Not frozen",IF(AND(J388="Yes",K388="Yes",L388="Yes"),"Complete","Incomplete")))</f>
        <v/>
      </c>
      <c r="O388" s="46" t="str">
        <f aca="false">IF(B388="","",IF(OR(F388="Simbli",F388="Shared folder"),"Yes","No"))</f>
        <v/>
      </c>
      <c r="P388" s="46"/>
    </row>
    <row r="389" customFormat="false" ht="15" hidden="false" customHeight="false" outlineLevel="0" collapsed="false">
      <c r="A389" s="46" t="s">
        <v>2715</v>
      </c>
      <c r="B389" s="46"/>
      <c r="C389" s="49" t="n">
        <f aca="false">IF(OR(B389="",D389=""),0,COUNTIFS($B$2:$B$501,B389,$D$2:$D$501,"&lt;"&amp;D389)+COUNTIFS($B$2:$B$501,B389,$D$2:$D$501,D389,$A$2:$A$501,"&lt;"&amp;A389)+1)</f>
        <v>0</v>
      </c>
      <c r="D389" s="46"/>
      <c r="E389" s="46"/>
      <c r="F389" s="46"/>
      <c r="G389" s="46"/>
      <c r="H389" s="46"/>
      <c r="I389" s="46"/>
      <c r="J389" s="46"/>
      <c r="K389" s="46"/>
      <c r="L389" s="46"/>
      <c r="M389" s="46" t="str">
        <f aca="false">IF(B389="","",IF(H389&lt;&gt;"Yes","No",IF(C389=SUMPRODUCT(MAX(($B$2:$B$501=B389)*($H$2:$H$501="Yes")*$C$2:$C$501)),"Yes","No")))</f>
        <v/>
      </c>
      <c r="N389" s="46" t="str">
        <f aca="false">IF(B389="","",IF(H389&lt;&gt;"Yes","Not frozen",IF(AND(J389="Yes",K389="Yes",L389="Yes"),"Complete","Incomplete")))</f>
        <v/>
      </c>
      <c r="O389" s="46" t="str">
        <f aca="false">IF(B389="","",IF(OR(F389="Simbli",F389="Shared folder"),"Yes","No"))</f>
        <v/>
      </c>
      <c r="P389" s="46"/>
    </row>
    <row r="390" customFormat="false" ht="15" hidden="false" customHeight="false" outlineLevel="0" collapsed="false">
      <c r="A390" s="46" t="s">
        <v>2716</v>
      </c>
      <c r="B390" s="46"/>
      <c r="C390" s="49" t="n">
        <f aca="false">IF(OR(B390="",D390=""),0,COUNTIFS($B$2:$B$501,B390,$D$2:$D$501,"&lt;"&amp;D390)+COUNTIFS($B$2:$B$501,B390,$D$2:$D$501,D390,$A$2:$A$501,"&lt;"&amp;A390)+1)</f>
        <v>0</v>
      </c>
      <c r="D390" s="46"/>
      <c r="E390" s="46"/>
      <c r="F390" s="46"/>
      <c r="G390" s="46"/>
      <c r="H390" s="46"/>
      <c r="I390" s="46"/>
      <c r="J390" s="46"/>
      <c r="K390" s="46"/>
      <c r="L390" s="46"/>
      <c r="M390" s="46" t="str">
        <f aca="false">IF(B390="","",IF(H390&lt;&gt;"Yes","No",IF(C390=SUMPRODUCT(MAX(($B$2:$B$501=B390)*($H$2:$H$501="Yes")*$C$2:$C$501)),"Yes","No")))</f>
        <v/>
      </c>
      <c r="N390" s="46" t="str">
        <f aca="false">IF(B390="","",IF(H390&lt;&gt;"Yes","Not frozen",IF(AND(J390="Yes",K390="Yes",L390="Yes"),"Complete","Incomplete")))</f>
        <v/>
      </c>
      <c r="O390" s="46" t="str">
        <f aca="false">IF(B390="","",IF(OR(F390="Simbli",F390="Shared folder"),"Yes","No"))</f>
        <v/>
      </c>
      <c r="P390" s="46"/>
    </row>
    <row r="391" customFormat="false" ht="15" hidden="false" customHeight="false" outlineLevel="0" collapsed="false">
      <c r="A391" s="46" t="s">
        <v>2717</v>
      </c>
      <c r="B391" s="46"/>
      <c r="C391" s="49" t="n">
        <f aca="false">IF(OR(B391="",D391=""),0,COUNTIFS($B$2:$B$501,B391,$D$2:$D$501,"&lt;"&amp;D391)+COUNTIFS($B$2:$B$501,B391,$D$2:$D$501,D391,$A$2:$A$501,"&lt;"&amp;A391)+1)</f>
        <v>0</v>
      </c>
      <c r="D391" s="46"/>
      <c r="E391" s="46"/>
      <c r="F391" s="46"/>
      <c r="G391" s="46"/>
      <c r="H391" s="46"/>
      <c r="I391" s="46"/>
      <c r="J391" s="46"/>
      <c r="K391" s="46"/>
      <c r="L391" s="46"/>
      <c r="M391" s="46" t="str">
        <f aca="false">IF(B391="","",IF(H391&lt;&gt;"Yes","No",IF(C391=SUMPRODUCT(MAX(($B$2:$B$501=B391)*($H$2:$H$501="Yes")*$C$2:$C$501)),"Yes","No")))</f>
        <v/>
      </c>
      <c r="N391" s="46" t="str">
        <f aca="false">IF(B391="","",IF(H391&lt;&gt;"Yes","Not frozen",IF(AND(J391="Yes",K391="Yes",L391="Yes"),"Complete","Incomplete")))</f>
        <v/>
      </c>
      <c r="O391" s="46" t="str">
        <f aca="false">IF(B391="","",IF(OR(F391="Simbli",F391="Shared folder"),"Yes","No"))</f>
        <v/>
      </c>
      <c r="P391" s="46"/>
    </row>
    <row r="392" customFormat="false" ht="15" hidden="false" customHeight="false" outlineLevel="0" collapsed="false">
      <c r="A392" s="46" t="s">
        <v>2718</v>
      </c>
      <c r="B392" s="46"/>
      <c r="C392" s="49" t="n">
        <f aca="false">IF(OR(B392="",D392=""),0,COUNTIFS($B$2:$B$501,B392,$D$2:$D$501,"&lt;"&amp;D392)+COUNTIFS($B$2:$B$501,B392,$D$2:$D$501,D392,$A$2:$A$501,"&lt;"&amp;A392)+1)</f>
        <v>0</v>
      </c>
      <c r="D392" s="46"/>
      <c r="E392" s="46"/>
      <c r="F392" s="46"/>
      <c r="G392" s="46"/>
      <c r="H392" s="46"/>
      <c r="I392" s="46"/>
      <c r="J392" s="46"/>
      <c r="K392" s="46"/>
      <c r="L392" s="46"/>
      <c r="M392" s="46" t="str">
        <f aca="false">IF(B392="","",IF(H392&lt;&gt;"Yes","No",IF(C392=SUMPRODUCT(MAX(($B$2:$B$501=B392)*($H$2:$H$501="Yes")*$C$2:$C$501)),"Yes","No")))</f>
        <v/>
      </c>
      <c r="N392" s="46" t="str">
        <f aca="false">IF(B392="","",IF(H392&lt;&gt;"Yes","Not frozen",IF(AND(J392="Yes",K392="Yes",L392="Yes"),"Complete","Incomplete")))</f>
        <v/>
      </c>
      <c r="O392" s="46" t="str">
        <f aca="false">IF(B392="","",IF(OR(F392="Simbli",F392="Shared folder"),"Yes","No"))</f>
        <v/>
      </c>
      <c r="P392" s="46"/>
    </row>
    <row r="393" customFormat="false" ht="15" hidden="false" customHeight="false" outlineLevel="0" collapsed="false">
      <c r="A393" s="46" t="s">
        <v>2719</v>
      </c>
      <c r="B393" s="46"/>
      <c r="C393" s="49" t="n">
        <f aca="false">IF(OR(B393="",D393=""),0,COUNTIFS($B$2:$B$501,B393,$D$2:$D$501,"&lt;"&amp;D393)+COUNTIFS($B$2:$B$501,B393,$D$2:$D$501,D393,$A$2:$A$501,"&lt;"&amp;A393)+1)</f>
        <v>0</v>
      </c>
      <c r="D393" s="46"/>
      <c r="E393" s="46"/>
      <c r="F393" s="46"/>
      <c r="G393" s="46"/>
      <c r="H393" s="46"/>
      <c r="I393" s="46"/>
      <c r="J393" s="46"/>
      <c r="K393" s="46"/>
      <c r="L393" s="46"/>
      <c r="M393" s="46" t="str">
        <f aca="false">IF(B393="","",IF(H393&lt;&gt;"Yes","No",IF(C393=SUMPRODUCT(MAX(($B$2:$B$501=B393)*($H$2:$H$501="Yes")*$C$2:$C$501)),"Yes","No")))</f>
        <v/>
      </c>
      <c r="N393" s="46" t="str">
        <f aca="false">IF(B393="","",IF(H393&lt;&gt;"Yes","Not frozen",IF(AND(J393="Yes",K393="Yes",L393="Yes"),"Complete","Incomplete")))</f>
        <v/>
      </c>
      <c r="O393" s="46" t="str">
        <f aca="false">IF(B393="","",IF(OR(F393="Simbli",F393="Shared folder"),"Yes","No"))</f>
        <v/>
      </c>
      <c r="P393" s="46"/>
    </row>
    <row r="394" customFormat="false" ht="15" hidden="false" customHeight="false" outlineLevel="0" collapsed="false">
      <c r="A394" s="46" t="s">
        <v>2720</v>
      </c>
      <c r="B394" s="46"/>
      <c r="C394" s="49" t="n">
        <f aca="false">IF(OR(B394="",D394=""),0,COUNTIFS($B$2:$B$501,B394,$D$2:$D$501,"&lt;"&amp;D394)+COUNTIFS($B$2:$B$501,B394,$D$2:$D$501,D394,$A$2:$A$501,"&lt;"&amp;A394)+1)</f>
        <v>0</v>
      </c>
      <c r="D394" s="46"/>
      <c r="E394" s="46"/>
      <c r="F394" s="46"/>
      <c r="G394" s="46"/>
      <c r="H394" s="46"/>
      <c r="I394" s="46"/>
      <c r="J394" s="46"/>
      <c r="K394" s="46"/>
      <c r="L394" s="46"/>
      <c r="M394" s="46" t="str">
        <f aca="false">IF(B394="","",IF(H394&lt;&gt;"Yes","No",IF(C394=SUMPRODUCT(MAX(($B$2:$B$501=B394)*($H$2:$H$501="Yes")*$C$2:$C$501)),"Yes","No")))</f>
        <v/>
      </c>
      <c r="N394" s="46" t="str">
        <f aca="false">IF(B394="","",IF(H394&lt;&gt;"Yes","Not frozen",IF(AND(J394="Yes",K394="Yes",L394="Yes"),"Complete","Incomplete")))</f>
        <v/>
      </c>
      <c r="O394" s="46" t="str">
        <f aca="false">IF(B394="","",IF(OR(F394="Simbli",F394="Shared folder"),"Yes","No"))</f>
        <v/>
      </c>
      <c r="P394" s="46"/>
    </row>
    <row r="395" customFormat="false" ht="15" hidden="false" customHeight="false" outlineLevel="0" collapsed="false">
      <c r="A395" s="46" t="s">
        <v>2721</v>
      </c>
      <c r="B395" s="46"/>
      <c r="C395" s="49" t="n">
        <f aca="false">IF(OR(B395="",D395=""),0,COUNTIFS($B$2:$B$501,B395,$D$2:$D$501,"&lt;"&amp;D395)+COUNTIFS($B$2:$B$501,B395,$D$2:$D$501,D395,$A$2:$A$501,"&lt;"&amp;A395)+1)</f>
        <v>0</v>
      </c>
      <c r="D395" s="46"/>
      <c r="E395" s="46"/>
      <c r="F395" s="46"/>
      <c r="G395" s="46"/>
      <c r="H395" s="46"/>
      <c r="I395" s="46"/>
      <c r="J395" s="46"/>
      <c r="K395" s="46"/>
      <c r="L395" s="46"/>
      <c r="M395" s="46" t="str">
        <f aca="false">IF(B395="","",IF(H395&lt;&gt;"Yes","No",IF(C395=SUMPRODUCT(MAX(($B$2:$B$501=B395)*($H$2:$H$501="Yes")*$C$2:$C$501)),"Yes","No")))</f>
        <v/>
      </c>
      <c r="N395" s="46" t="str">
        <f aca="false">IF(B395="","",IF(H395&lt;&gt;"Yes","Not frozen",IF(AND(J395="Yes",K395="Yes",L395="Yes"),"Complete","Incomplete")))</f>
        <v/>
      </c>
      <c r="O395" s="46" t="str">
        <f aca="false">IF(B395="","",IF(OR(F395="Simbli",F395="Shared folder"),"Yes","No"))</f>
        <v/>
      </c>
      <c r="P395" s="46"/>
    </row>
    <row r="396" customFormat="false" ht="15" hidden="false" customHeight="false" outlineLevel="0" collapsed="false">
      <c r="A396" s="46" t="s">
        <v>2722</v>
      </c>
      <c r="B396" s="46"/>
      <c r="C396" s="49" t="n">
        <f aca="false">IF(OR(B396="",D396=""),0,COUNTIFS($B$2:$B$501,B396,$D$2:$D$501,"&lt;"&amp;D396)+COUNTIFS($B$2:$B$501,B396,$D$2:$D$501,D396,$A$2:$A$501,"&lt;"&amp;A396)+1)</f>
        <v>0</v>
      </c>
      <c r="D396" s="46"/>
      <c r="E396" s="46"/>
      <c r="F396" s="46"/>
      <c r="G396" s="46"/>
      <c r="H396" s="46"/>
      <c r="I396" s="46"/>
      <c r="J396" s="46"/>
      <c r="K396" s="46"/>
      <c r="L396" s="46"/>
      <c r="M396" s="46" t="str">
        <f aca="false">IF(B396="","",IF(H396&lt;&gt;"Yes","No",IF(C396=SUMPRODUCT(MAX(($B$2:$B$501=B396)*($H$2:$H$501="Yes")*$C$2:$C$501)),"Yes","No")))</f>
        <v/>
      </c>
      <c r="N396" s="46" t="str">
        <f aca="false">IF(B396="","",IF(H396&lt;&gt;"Yes","Not frozen",IF(AND(J396="Yes",K396="Yes",L396="Yes"),"Complete","Incomplete")))</f>
        <v/>
      </c>
      <c r="O396" s="46" t="str">
        <f aca="false">IF(B396="","",IF(OR(F396="Simbli",F396="Shared folder"),"Yes","No"))</f>
        <v/>
      </c>
      <c r="P396" s="46"/>
    </row>
    <row r="397" customFormat="false" ht="15" hidden="false" customHeight="false" outlineLevel="0" collapsed="false">
      <c r="A397" s="46" t="s">
        <v>2723</v>
      </c>
      <c r="B397" s="46"/>
      <c r="C397" s="49" t="n">
        <f aca="false">IF(OR(B397="",D397=""),0,COUNTIFS($B$2:$B$501,B397,$D$2:$D$501,"&lt;"&amp;D397)+COUNTIFS($B$2:$B$501,B397,$D$2:$D$501,D397,$A$2:$A$501,"&lt;"&amp;A397)+1)</f>
        <v>0</v>
      </c>
      <c r="D397" s="46"/>
      <c r="E397" s="46"/>
      <c r="F397" s="46"/>
      <c r="G397" s="46"/>
      <c r="H397" s="46"/>
      <c r="I397" s="46"/>
      <c r="J397" s="46"/>
      <c r="K397" s="46"/>
      <c r="L397" s="46"/>
      <c r="M397" s="46" t="str">
        <f aca="false">IF(B397="","",IF(H397&lt;&gt;"Yes","No",IF(C397=SUMPRODUCT(MAX(($B$2:$B$501=B397)*($H$2:$H$501="Yes")*$C$2:$C$501)),"Yes","No")))</f>
        <v/>
      </c>
      <c r="N397" s="46" t="str">
        <f aca="false">IF(B397="","",IF(H397&lt;&gt;"Yes","Not frozen",IF(AND(J397="Yes",K397="Yes",L397="Yes"),"Complete","Incomplete")))</f>
        <v/>
      </c>
      <c r="O397" s="46" t="str">
        <f aca="false">IF(B397="","",IF(OR(F397="Simbli",F397="Shared folder"),"Yes","No"))</f>
        <v/>
      </c>
      <c r="P397" s="46"/>
    </row>
    <row r="398" customFormat="false" ht="15" hidden="false" customHeight="false" outlineLevel="0" collapsed="false">
      <c r="A398" s="46" t="s">
        <v>2724</v>
      </c>
      <c r="B398" s="46"/>
      <c r="C398" s="49" t="n">
        <f aca="false">IF(OR(B398="",D398=""),0,COUNTIFS($B$2:$B$501,B398,$D$2:$D$501,"&lt;"&amp;D398)+COUNTIFS($B$2:$B$501,B398,$D$2:$D$501,D398,$A$2:$A$501,"&lt;"&amp;A398)+1)</f>
        <v>0</v>
      </c>
      <c r="D398" s="46"/>
      <c r="E398" s="46"/>
      <c r="F398" s="46"/>
      <c r="G398" s="46"/>
      <c r="H398" s="46"/>
      <c r="I398" s="46"/>
      <c r="J398" s="46"/>
      <c r="K398" s="46"/>
      <c r="L398" s="46"/>
      <c r="M398" s="46" t="str">
        <f aca="false">IF(B398="","",IF(H398&lt;&gt;"Yes","No",IF(C398=SUMPRODUCT(MAX(($B$2:$B$501=B398)*($H$2:$H$501="Yes")*$C$2:$C$501)),"Yes","No")))</f>
        <v/>
      </c>
      <c r="N398" s="46" t="str">
        <f aca="false">IF(B398="","",IF(H398&lt;&gt;"Yes","Not frozen",IF(AND(J398="Yes",K398="Yes",L398="Yes"),"Complete","Incomplete")))</f>
        <v/>
      </c>
      <c r="O398" s="46" t="str">
        <f aca="false">IF(B398="","",IF(OR(F398="Simbli",F398="Shared folder"),"Yes","No"))</f>
        <v/>
      </c>
      <c r="P398" s="46"/>
    </row>
    <row r="399" customFormat="false" ht="15" hidden="false" customHeight="false" outlineLevel="0" collapsed="false">
      <c r="A399" s="46" t="s">
        <v>2725</v>
      </c>
      <c r="B399" s="46"/>
      <c r="C399" s="49" t="n">
        <f aca="false">IF(OR(B399="",D399=""),0,COUNTIFS($B$2:$B$501,B399,$D$2:$D$501,"&lt;"&amp;D399)+COUNTIFS($B$2:$B$501,B399,$D$2:$D$501,D399,$A$2:$A$501,"&lt;"&amp;A399)+1)</f>
        <v>0</v>
      </c>
      <c r="D399" s="46"/>
      <c r="E399" s="46"/>
      <c r="F399" s="46"/>
      <c r="G399" s="46"/>
      <c r="H399" s="46"/>
      <c r="I399" s="46"/>
      <c r="J399" s="46"/>
      <c r="K399" s="46"/>
      <c r="L399" s="46"/>
      <c r="M399" s="46" t="str">
        <f aca="false">IF(B399="","",IF(H399&lt;&gt;"Yes","No",IF(C399=SUMPRODUCT(MAX(($B$2:$B$501=B399)*($H$2:$H$501="Yes")*$C$2:$C$501)),"Yes","No")))</f>
        <v/>
      </c>
      <c r="N399" s="46" t="str">
        <f aca="false">IF(B399="","",IF(H399&lt;&gt;"Yes","Not frozen",IF(AND(J399="Yes",K399="Yes",L399="Yes"),"Complete","Incomplete")))</f>
        <v/>
      </c>
      <c r="O399" s="46" t="str">
        <f aca="false">IF(B399="","",IF(OR(F399="Simbli",F399="Shared folder"),"Yes","No"))</f>
        <v/>
      </c>
      <c r="P399" s="46"/>
    </row>
    <row r="400" customFormat="false" ht="15" hidden="false" customHeight="false" outlineLevel="0" collapsed="false">
      <c r="A400" s="46" t="s">
        <v>2726</v>
      </c>
      <c r="B400" s="46"/>
      <c r="C400" s="49" t="n">
        <f aca="false">IF(OR(B400="",D400=""),0,COUNTIFS($B$2:$B$501,B400,$D$2:$D$501,"&lt;"&amp;D400)+COUNTIFS($B$2:$B$501,B400,$D$2:$D$501,D400,$A$2:$A$501,"&lt;"&amp;A400)+1)</f>
        <v>0</v>
      </c>
      <c r="D400" s="46"/>
      <c r="E400" s="46"/>
      <c r="F400" s="46"/>
      <c r="G400" s="46"/>
      <c r="H400" s="46"/>
      <c r="I400" s="46"/>
      <c r="J400" s="46"/>
      <c r="K400" s="46"/>
      <c r="L400" s="46"/>
      <c r="M400" s="46" t="str">
        <f aca="false">IF(B400="","",IF(H400&lt;&gt;"Yes","No",IF(C400=SUMPRODUCT(MAX(($B$2:$B$501=B400)*($H$2:$H$501="Yes")*$C$2:$C$501)),"Yes","No")))</f>
        <v/>
      </c>
      <c r="N400" s="46" t="str">
        <f aca="false">IF(B400="","",IF(H400&lt;&gt;"Yes","Not frozen",IF(AND(J400="Yes",K400="Yes",L400="Yes"),"Complete","Incomplete")))</f>
        <v/>
      </c>
      <c r="O400" s="46" t="str">
        <f aca="false">IF(B400="","",IF(OR(F400="Simbli",F400="Shared folder"),"Yes","No"))</f>
        <v/>
      </c>
      <c r="P400" s="46"/>
    </row>
    <row r="401" customFormat="false" ht="15" hidden="false" customHeight="false" outlineLevel="0" collapsed="false">
      <c r="A401" s="46" t="s">
        <v>2727</v>
      </c>
      <c r="B401" s="46"/>
      <c r="C401" s="49" t="n">
        <f aca="false">IF(OR(B401="",D401=""),0,COUNTIFS($B$2:$B$501,B401,$D$2:$D$501,"&lt;"&amp;D401)+COUNTIFS($B$2:$B$501,B401,$D$2:$D$501,D401,$A$2:$A$501,"&lt;"&amp;A401)+1)</f>
        <v>0</v>
      </c>
      <c r="D401" s="46"/>
      <c r="E401" s="46"/>
      <c r="F401" s="46"/>
      <c r="G401" s="46"/>
      <c r="H401" s="46"/>
      <c r="I401" s="46"/>
      <c r="J401" s="46"/>
      <c r="K401" s="46"/>
      <c r="L401" s="46"/>
      <c r="M401" s="46" t="str">
        <f aca="false">IF(B401="","",IF(H401&lt;&gt;"Yes","No",IF(C401=SUMPRODUCT(MAX(($B$2:$B$501=B401)*($H$2:$H$501="Yes")*$C$2:$C$501)),"Yes","No")))</f>
        <v/>
      </c>
      <c r="N401" s="46" t="str">
        <f aca="false">IF(B401="","",IF(H401&lt;&gt;"Yes","Not frozen",IF(AND(J401="Yes",K401="Yes",L401="Yes"),"Complete","Incomplete")))</f>
        <v/>
      </c>
      <c r="O401" s="46" t="str">
        <f aca="false">IF(B401="","",IF(OR(F401="Simbli",F401="Shared folder"),"Yes","No"))</f>
        <v/>
      </c>
      <c r="P401" s="46"/>
    </row>
    <row r="402" customFormat="false" ht="15" hidden="false" customHeight="false" outlineLevel="0" collapsed="false">
      <c r="A402" s="46" t="s">
        <v>2728</v>
      </c>
      <c r="B402" s="46"/>
      <c r="C402" s="49" t="n">
        <f aca="false">IF(OR(B402="",D402=""),0,COUNTIFS($B$2:$B$501,B402,$D$2:$D$501,"&lt;"&amp;D402)+COUNTIFS($B$2:$B$501,B402,$D$2:$D$501,D402,$A$2:$A$501,"&lt;"&amp;A402)+1)</f>
        <v>0</v>
      </c>
      <c r="D402" s="46"/>
      <c r="E402" s="46"/>
      <c r="F402" s="46"/>
      <c r="G402" s="46"/>
      <c r="H402" s="46"/>
      <c r="I402" s="46"/>
      <c r="J402" s="46"/>
      <c r="K402" s="46"/>
      <c r="L402" s="46"/>
      <c r="M402" s="46" t="str">
        <f aca="false">IF(B402="","",IF(H402&lt;&gt;"Yes","No",IF(C402=SUMPRODUCT(MAX(($B$2:$B$501=B402)*($H$2:$H$501="Yes")*$C$2:$C$501)),"Yes","No")))</f>
        <v/>
      </c>
      <c r="N402" s="46" t="str">
        <f aca="false">IF(B402="","",IF(H402&lt;&gt;"Yes","Not frozen",IF(AND(J402="Yes",K402="Yes",L402="Yes"),"Complete","Incomplete")))</f>
        <v/>
      </c>
      <c r="O402" s="46" t="str">
        <f aca="false">IF(B402="","",IF(OR(F402="Simbli",F402="Shared folder"),"Yes","No"))</f>
        <v/>
      </c>
      <c r="P402" s="46"/>
    </row>
    <row r="403" customFormat="false" ht="15" hidden="false" customHeight="false" outlineLevel="0" collapsed="false">
      <c r="A403" s="46" t="s">
        <v>2729</v>
      </c>
      <c r="B403" s="46"/>
      <c r="C403" s="49" t="n">
        <f aca="false">IF(OR(B403="",D403=""),0,COUNTIFS($B$2:$B$501,B403,$D$2:$D$501,"&lt;"&amp;D403)+COUNTIFS($B$2:$B$501,B403,$D$2:$D$501,D403,$A$2:$A$501,"&lt;"&amp;A403)+1)</f>
        <v>0</v>
      </c>
      <c r="D403" s="46"/>
      <c r="E403" s="46"/>
      <c r="F403" s="46"/>
      <c r="G403" s="46"/>
      <c r="H403" s="46"/>
      <c r="I403" s="46"/>
      <c r="J403" s="46"/>
      <c r="K403" s="46"/>
      <c r="L403" s="46"/>
      <c r="M403" s="46" t="str">
        <f aca="false">IF(B403="","",IF(H403&lt;&gt;"Yes","No",IF(C403=SUMPRODUCT(MAX(($B$2:$B$501=B403)*($H$2:$H$501="Yes")*$C$2:$C$501)),"Yes","No")))</f>
        <v/>
      </c>
      <c r="N403" s="46" t="str">
        <f aca="false">IF(B403="","",IF(H403&lt;&gt;"Yes","Not frozen",IF(AND(J403="Yes",K403="Yes",L403="Yes"),"Complete","Incomplete")))</f>
        <v/>
      </c>
      <c r="O403" s="46" t="str">
        <f aca="false">IF(B403="","",IF(OR(F403="Simbli",F403="Shared folder"),"Yes","No"))</f>
        <v/>
      </c>
      <c r="P403" s="46"/>
    </row>
    <row r="404" customFormat="false" ht="15" hidden="false" customHeight="false" outlineLevel="0" collapsed="false">
      <c r="A404" s="46" t="s">
        <v>2730</v>
      </c>
      <c r="B404" s="46"/>
      <c r="C404" s="49" t="n">
        <f aca="false">IF(OR(B404="",D404=""),0,COUNTIFS($B$2:$B$501,B404,$D$2:$D$501,"&lt;"&amp;D404)+COUNTIFS($B$2:$B$501,B404,$D$2:$D$501,D404,$A$2:$A$501,"&lt;"&amp;A404)+1)</f>
        <v>0</v>
      </c>
      <c r="D404" s="46"/>
      <c r="E404" s="46"/>
      <c r="F404" s="46"/>
      <c r="G404" s="46"/>
      <c r="H404" s="46"/>
      <c r="I404" s="46"/>
      <c r="J404" s="46"/>
      <c r="K404" s="46"/>
      <c r="L404" s="46"/>
      <c r="M404" s="46" t="str">
        <f aca="false">IF(B404="","",IF(H404&lt;&gt;"Yes","No",IF(C404=SUMPRODUCT(MAX(($B$2:$B$501=B404)*($H$2:$H$501="Yes")*$C$2:$C$501)),"Yes","No")))</f>
        <v/>
      </c>
      <c r="N404" s="46" t="str">
        <f aca="false">IF(B404="","",IF(H404&lt;&gt;"Yes","Not frozen",IF(AND(J404="Yes",K404="Yes",L404="Yes"),"Complete","Incomplete")))</f>
        <v/>
      </c>
      <c r="O404" s="46" t="str">
        <f aca="false">IF(B404="","",IF(OR(F404="Simbli",F404="Shared folder"),"Yes","No"))</f>
        <v/>
      </c>
      <c r="P404" s="46"/>
    </row>
    <row r="405" customFormat="false" ht="15" hidden="false" customHeight="false" outlineLevel="0" collapsed="false">
      <c r="A405" s="46" t="s">
        <v>2731</v>
      </c>
      <c r="B405" s="46"/>
      <c r="C405" s="49" t="n">
        <f aca="false">IF(OR(B405="",D405=""),0,COUNTIFS($B$2:$B$501,B405,$D$2:$D$501,"&lt;"&amp;D405)+COUNTIFS($B$2:$B$501,B405,$D$2:$D$501,D405,$A$2:$A$501,"&lt;"&amp;A405)+1)</f>
        <v>0</v>
      </c>
      <c r="D405" s="46"/>
      <c r="E405" s="46"/>
      <c r="F405" s="46"/>
      <c r="G405" s="46"/>
      <c r="H405" s="46"/>
      <c r="I405" s="46"/>
      <c r="J405" s="46"/>
      <c r="K405" s="46"/>
      <c r="L405" s="46"/>
      <c r="M405" s="46" t="str">
        <f aca="false">IF(B405="","",IF(H405&lt;&gt;"Yes","No",IF(C405=SUMPRODUCT(MAX(($B$2:$B$501=B405)*($H$2:$H$501="Yes")*$C$2:$C$501)),"Yes","No")))</f>
        <v/>
      </c>
      <c r="N405" s="46" t="str">
        <f aca="false">IF(B405="","",IF(H405&lt;&gt;"Yes","Not frozen",IF(AND(J405="Yes",K405="Yes",L405="Yes"),"Complete","Incomplete")))</f>
        <v/>
      </c>
      <c r="O405" s="46" t="str">
        <f aca="false">IF(B405="","",IF(OR(F405="Simbli",F405="Shared folder"),"Yes","No"))</f>
        <v/>
      </c>
      <c r="P405" s="46"/>
    </row>
    <row r="406" customFormat="false" ht="15" hidden="false" customHeight="false" outlineLevel="0" collapsed="false">
      <c r="A406" s="46" t="s">
        <v>2732</v>
      </c>
      <c r="B406" s="46"/>
      <c r="C406" s="49" t="n">
        <f aca="false">IF(OR(B406="",D406=""),0,COUNTIFS($B$2:$B$501,B406,$D$2:$D$501,"&lt;"&amp;D406)+COUNTIFS($B$2:$B$501,B406,$D$2:$D$501,D406,$A$2:$A$501,"&lt;"&amp;A406)+1)</f>
        <v>0</v>
      </c>
      <c r="D406" s="46"/>
      <c r="E406" s="46"/>
      <c r="F406" s="46"/>
      <c r="G406" s="46"/>
      <c r="H406" s="46"/>
      <c r="I406" s="46"/>
      <c r="J406" s="46"/>
      <c r="K406" s="46"/>
      <c r="L406" s="46"/>
      <c r="M406" s="46" t="str">
        <f aca="false">IF(B406="","",IF(H406&lt;&gt;"Yes","No",IF(C406=SUMPRODUCT(MAX(($B$2:$B$501=B406)*($H$2:$H$501="Yes")*$C$2:$C$501)),"Yes","No")))</f>
        <v/>
      </c>
      <c r="N406" s="46" t="str">
        <f aca="false">IF(B406="","",IF(H406&lt;&gt;"Yes","Not frozen",IF(AND(J406="Yes",K406="Yes",L406="Yes"),"Complete","Incomplete")))</f>
        <v/>
      </c>
      <c r="O406" s="46" t="str">
        <f aca="false">IF(B406="","",IF(OR(F406="Simbli",F406="Shared folder"),"Yes","No"))</f>
        <v/>
      </c>
      <c r="P406" s="46"/>
    </row>
    <row r="407" customFormat="false" ht="15" hidden="false" customHeight="false" outlineLevel="0" collapsed="false">
      <c r="A407" s="46" t="s">
        <v>2733</v>
      </c>
      <c r="B407" s="46"/>
      <c r="C407" s="49" t="n">
        <f aca="false">IF(OR(B407="",D407=""),0,COUNTIFS($B$2:$B$501,B407,$D$2:$D$501,"&lt;"&amp;D407)+COUNTIFS($B$2:$B$501,B407,$D$2:$D$501,D407,$A$2:$A$501,"&lt;"&amp;A407)+1)</f>
        <v>0</v>
      </c>
      <c r="D407" s="46"/>
      <c r="E407" s="46"/>
      <c r="F407" s="46"/>
      <c r="G407" s="46"/>
      <c r="H407" s="46"/>
      <c r="I407" s="46"/>
      <c r="J407" s="46"/>
      <c r="K407" s="46"/>
      <c r="L407" s="46"/>
      <c r="M407" s="46" t="str">
        <f aca="false">IF(B407="","",IF(H407&lt;&gt;"Yes","No",IF(C407=SUMPRODUCT(MAX(($B$2:$B$501=B407)*($H$2:$H$501="Yes")*$C$2:$C$501)),"Yes","No")))</f>
        <v/>
      </c>
      <c r="N407" s="46" t="str">
        <f aca="false">IF(B407="","",IF(H407&lt;&gt;"Yes","Not frozen",IF(AND(J407="Yes",K407="Yes",L407="Yes"),"Complete","Incomplete")))</f>
        <v/>
      </c>
      <c r="O407" s="46" t="str">
        <f aca="false">IF(B407="","",IF(OR(F407="Simbli",F407="Shared folder"),"Yes","No"))</f>
        <v/>
      </c>
      <c r="P407" s="46"/>
    </row>
    <row r="408" customFormat="false" ht="15" hidden="false" customHeight="false" outlineLevel="0" collapsed="false">
      <c r="A408" s="46" t="s">
        <v>2734</v>
      </c>
      <c r="B408" s="46"/>
      <c r="C408" s="49" t="n">
        <f aca="false">IF(OR(B408="",D408=""),0,COUNTIFS($B$2:$B$501,B408,$D$2:$D$501,"&lt;"&amp;D408)+COUNTIFS($B$2:$B$501,B408,$D$2:$D$501,D408,$A$2:$A$501,"&lt;"&amp;A408)+1)</f>
        <v>0</v>
      </c>
      <c r="D408" s="46"/>
      <c r="E408" s="46"/>
      <c r="F408" s="46"/>
      <c r="G408" s="46"/>
      <c r="H408" s="46"/>
      <c r="I408" s="46"/>
      <c r="J408" s="46"/>
      <c r="K408" s="46"/>
      <c r="L408" s="46"/>
      <c r="M408" s="46" t="str">
        <f aca="false">IF(B408="","",IF(H408&lt;&gt;"Yes","No",IF(C408=SUMPRODUCT(MAX(($B$2:$B$501=B408)*($H$2:$H$501="Yes")*$C$2:$C$501)),"Yes","No")))</f>
        <v/>
      </c>
      <c r="N408" s="46" t="str">
        <f aca="false">IF(B408="","",IF(H408&lt;&gt;"Yes","Not frozen",IF(AND(J408="Yes",K408="Yes",L408="Yes"),"Complete","Incomplete")))</f>
        <v/>
      </c>
      <c r="O408" s="46" t="str">
        <f aca="false">IF(B408="","",IF(OR(F408="Simbli",F408="Shared folder"),"Yes","No"))</f>
        <v/>
      </c>
      <c r="P408" s="46"/>
    </row>
    <row r="409" customFormat="false" ht="15" hidden="false" customHeight="false" outlineLevel="0" collapsed="false">
      <c r="A409" s="46" t="s">
        <v>2735</v>
      </c>
      <c r="B409" s="46"/>
      <c r="C409" s="49" t="n">
        <f aca="false">IF(OR(B409="",D409=""),0,COUNTIFS($B$2:$B$501,B409,$D$2:$D$501,"&lt;"&amp;D409)+COUNTIFS($B$2:$B$501,B409,$D$2:$D$501,D409,$A$2:$A$501,"&lt;"&amp;A409)+1)</f>
        <v>0</v>
      </c>
      <c r="D409" s="46"/>
      <c r="E409" s="46"/>
      <c r="F409" s="46"/>
      <c r="G409" s="46"/>
      <c r="H409" s="46"/>
      <c r="I409" s="46"/>
      <c r="J409" s="46"/>
      <c r="K409" s="46"/>
      <c r="L409" s="46"/>
      <c r="M409" s="46" t="str">
        <f aca="false">IF(B409="","",IF(H409&lt;&gt;"Yes","No",IF(C409=SUMPRODUCT(MAX(($B$2:$B$501=B409)*($H$2:$H$501="Yes")*$C$2:$C$501)),"Yes","No")))</f>
        <v/>
      </c>
      <c r="N409" s="46" t="str">
        <f aca="false">IF(B409="","",IF(H409&lt;&gt;"Yes","Not frozen",IF(AND(J409="Yes",K409="Yes",L409="Yes"),"Complete","Incomplete")))</f>
        <v/>
      </c>
      <c r="O409" s="46" t="str">
        <f aca="false">IF(B409="","",IF(OR(F409="Simbli",F409="Shared folder"),"Yes","No"))</f>
        <v/>
      </c>
      <c r="P409" s="46"/>
    </row>
    <row r="410" customFormat="false" ht="15" hidden="false" customHeight="false" outlineLevel="0" collapsed="false">
      <c r="A410" s="46" t="s">
        <v>2736</v>
      </c>
      <c r="B410" s="46"/>
      <c r="C410" s="49" t="n">
        <f aca="false">IF(OR(B410="",D410=""),0,COUNTIFS($B$2:$B$501,B410,$D$2:$D$501,"&lt;"&amp;D410)+COUNTIFS($B$2:$B$501,B410,$D$2:$D$501,D410,$A$2:$A$501,"&lt;"&amp;A410)+1)</f>
        <v>0</v>
      </c>
      <c r="D410" s="46"/>
      <c r="E410" s="46"/>
      <c r="F410" s="46"/>
      <c r="G410" s="46"/>
      <c r="H410" s="46"/>
      <c r="I410" s="46"/>
      <c r="J410" s="46"/>
      <c r="K410" s="46"/>
      <c r="L410" s="46"/>
      <c r="M410" s="46" t="str">
        <f aca="false">IF(B410="","",IF(H410&lt;&gt;"Yes","No",IF(C410=SUMPRODUCT(MAX(($B$2:$B$501=B410)*($H$2:$H$501="Yes")*$C$2:$C$501)),"Yes","No")))</f>
        <v/>
      </c>
      <c r="N410" s="46" t="str">
        <f aca="false">IF(B410="","",IF(H410&lt;&gt;"Yes","Not frozen",IF(AND(J410="Yes",K410="Yes",L410="Yes"),"Complete","Incomplete")))</f>
        <v/>
      </c>
      <c r="O410" s="46" t="str">
        <f aca="false">IF(B410="","",IF(OR(F410="Simbli",F410="Shared folder"),"Yes","No"))</f>
        <v/>
      </c>
      <c r="P410" s="46"/>
    </row>
    <row r="411" customFormat="false" ht="15" hidden="false" customHeight="false" outlineLevel="0" collapsed="false">
      <c r="A411" s="46" t="s">
        <v>2737</v>
      </c>
      <c r="B411" s="46"/>
      <c r="C411" s="49" t="n">
        <f aca="false">IF(OR(B411="",D411=""),0,COUNTIFS($B$2:$B$501,B411,$D$2:$D$501,"&lt;"&amp;D411)+COUNTIFS($B$2:$B$501,B411,$D$2:$D$501,D411,$A$2:$A$501,"&lt;"&amp;A411)+1)</f>
        <v>0</v>
      </c>
      <c r="D411" s="46"/>
      <c r="E411" s="46"/>
      <c r="F411" s="46"/>
      <c r="G411" s="46"/>
      <c r="H411" s="46"/>
      <c r="I411" s="46"/>
      <c r="J411" s="46"/>
      <c r="K411" s="46"/>
      <c r="L411" s="46"/>
      <c r="M411" s="46" t="str">
        <f aca="false">IF(B411="","",IF(H411&lt;&gt;"Yes","No",IF(C411=SUMPRODUCT(MAX(($B$2:$B$501=B411)*($H$2:$H$501="Yes")*$C$2:$C$501)),"Yes","No")))</f>
        <v/>
      </c>
      <c r="N411" s="46" t="str">
        <f aca="false">IF(B411="","",IF(H411&lt;&gt;"Yes","Not frozen",IF(AND(J411="Yes",K411="Yes",L411="Yes"),"Complete","Incomplete")))</f>
        <v/>
      </c>
      <c r="O411" s="46" t="str">
        <f aca="false">IF(B411="","",IF(OR(F411="Simbli",F411="Shared folder"),"Yes","No"))</f>
        <v/>
      </c>
      <c r="P411" s="46"/>
    </row>
    <row r="412" customFormat="false" ht="15" hidden="false" customHeight="false" outlineLevel="0" collapsed="false">
      <c r="A412" s="46" t="s">
        <v>2738</v>
      </c>
      <c r="B412" s="46"/>
      <c r="C412" s="49" t="n">
        <f aca="false">IF(OR(B412="",D412=""),0,COUNTIFS($B$2:$B$501,B412,$D$2:$D$501,"&lt;"&amp;D412)+COUNTIFS($B$2:$B$501,B412,$D$2:$D$501,D412,$A$2:$A$501,"&lt;"&amp;A412)+1)</f>
        <v>0</v>
      </c>
      <c r="D412" s="46"/>
      <c r="E412" s="46"/>
      <c r="F412" s="46"/>
      <c r="G412" s="46"/>
      <c r="H412" s="46"/>
      <c r="I412" s="46"/>
      <c r="J412" s="46"/>
      <c r="K412" s="46"/>
      <c r="L412" s="46"/>
      <c r="M412" s="46" t="str">
        <f aca="false">IF(B412="","",IF(H412&lt;&gt;"Yes","No",IF(C412=SUMPRODUCT(MAX(($B$2:$B$501=B412)*($H$2:$H$501="Yes")*$C$2:$C$501)),"Yes","No")))</f>
        <v/>
      </c>
      <c r="N412" s="46" t="str">
        <f aca="false">IF(B412="","",IF(H412&lt;&gt;"Yes","Not frozen",IF(AND(J412="Yes",K412="Yes",L412="Yes"),"Complete","Incomplete")))</f>
        <v/>
      </c>
      <c r="O412" s="46" t="str">
        <f aca="false">IF(B412="","",IF(OR(F412="Simbli",F412="Shared folder"),"Yes","No"))</f>
        <v/>
      </c>
      <c r="P412" s="46"/>
    </row>
    <row r="413" customFormat="false" ht="15" hidden="false" customHeight="false" outlineLevel="0" collapsed="false">
      <c r="A413" s="46" t="s">
        <v>2739</v>
      </c>
      <c r="B413" s="46"/>
      <c r="C413" s="49" t="n">
        <f aca="false">IF(OR(B413="",D413=""),0,COUNTIFS($B$2:$B$501,B413,$D$2:$D$501,"&lt;"&amp;D413)+COUNTIFS($B$2:$B$501,B413,$D$2:$D$501,D413,$A$2:$A$501,"&lt;"&amp;A413)+1)</f>
        <v>0</v>
      </c>
      <c r="D413" s="46"/>
      <c r="E413" s="46"/>
      <c r="F413" s="46"/>
      <c r="G413" s="46"/>
      <c r="H413" s="46"/>
      <c r="I413" s="46"/>
      <c r="J413" s="46"/>
      <c r="K413" s="46"/>
      <c r="L413" s="46"/>
      <c r="M413" s="46" t="str">
        <f aca="false">IF(B413="","",IF(H413&lt;&gt;"Yes","No",IF(C413=SUMPRODUCT(MAX(($B$2:$B$501=B413)*($H$2:$H$501="Yes")*$C$2:$C$501)),"Yes","No")))</f>
        <v/>
      </c>
      <c r="N413" s="46" t="str">
        <f aca="false">IF(B413="","",IF(H413&lt;&gt;"Yes","Not frozen",IF(AND(J413="Yes",K413="Yes",L413="Yes"),"Complete","Incomplete")))</f>
        <v/>
      </c>
      <c r="O413" s="46" t="str">
        <f aca="false">IF(B413="","",IF(OR(F413="Simbli",F413="Shared folder"),"Yes","No"))</f>
        <v/>
      </c>
      <c r="P413" s="46"/>
    </row>
    <row r="414" customFormat="false" ht="15" hidden="false" customHeight="false" outlineLevel="0" collapsed="false">
      <c r="A414" s="46" t="s">
        <v>2740</v>
      </c>
      <c r="B414" s="46"/>
      <c r="C414" s="49" t="n">
        <f aca="false">IF(OR(B414="",D414=""),0,COUNTIFS($B$2:$B$501,B414,$D$2:$D$501,"&lt;"&amp;D414)+COUNTIFS($B$2:$B$501,B414,$D$2:$D$501,D414,$A$2:$A$501,"&lt;"&amp;A414)+1)</f>
        <v>0</v>
      </c>
      <c r="D414" s="46"/>
      <c r="E414" s="46"/>
      <c r="F414" s="46"/>
      <c r="G414" s="46"/>
      <c r="H414" s="46"/>
      <c r="I414" s="46"/>
      <c r="J414" s="46"/>
      <c r="K414" s="46"/>
      <c r="L414" s="46"/>
      <c r="M414" s="46" t="str">
        <f aca="false">IF(B414="","",IF(H414&lt;&gt;"Yes","No",IF(C414=SUMPRODUCT(MAX(($B$2:$B$501=B414)*($H$2:$H$501="Yes")*$C$2:$C$501)),"Yes","No")))</f>
        <v/>
      </c>
      <c r="N414" s="46" t="str">
        <f aca="false">IF(B414="","",IF(H414&lt;&gt;"Yes","Not frozen",IF(AND(J414="Yes",K414="Yes",L414="Yes"),"Complete","Incomplete")))</f>
        <v/>
      </c>
      <c r="O414" s="46" t="str">
        <f aca="false">IF(B414="","",IF(OR(F414="Simbli",F414="Shared folder"),"Yes","No"))</f>
        <v/>
      </c>
      <c r="P414" s="46"/>
    </row>
    <row r="415" customFormat="false" ht="15" hidden="false" customHeight="false" outlineLevel="0" collapsed="false">
      <c r="A415" s="46" t="s">
        <v>2741</v>
      </c>
      <c r="B415" s="46"/>
      <c r="C415" s="49" t="n">
        <f aca="false">IF(OR(B415="",D415=""),0,COUNTIFS($B$2:$B$501,B415,$D$2:$D$501,"&lt;"&amp;D415)+COUNTIFS($B$2:$B$501,B415,$D$2:$D$501,D415,$A$2:$A$501,"&lt;"&amp;A415)+1)</f>
        <v>0</v>
      </c>
      <c r="D415" s="46"/>
      <c r="E415" s="46"/>
      <c r="F415" s="46"/>
      <c r="G415" s="46"/>
      <c r="H415" s="46"/>
      <c r="I415" s="46"/>
      <c r="J415" s="46"/>
      <c r="K415" s="46"/>
      <c r="L415" s="46"/>
      <c r="M415" s="46" t="str">
        <f aca="false">IF(B415="","",IF(H415&lt;&gt;"Yes","No",IF(C415=SUMPRODUCT(MAX(($B$2:$B$501=B415)*($H$2:$H$501="Yes")*$C$2:$C$501)),"Yes","No")))</f>
        <v/>
      </c>
      <c r="N415" s="46" t="str">
        <f aca="false">IF(B415="","",IF(H415&lt;&gt;"Yes","Not frozen",IF(AND(J415="Yes",K415="Yes",L415="Yes"),"Complete","Incomplete")))</f>
        <v/>
      </c>
      <c r="O415" s="46" t="str">
        <f aca="false">IF(B415="","",IF(OR(F415="Simbli",F415="Shared folder"),"Yes","No"))</f>
        <v/>
      </c>
      <c r="P415" s="46"/>
    </row>
    <row r="416" customFormat="false" ht="15" hidden="false" customHeight="false" outlineLevel="0" collapsed="false">
      <c r="A416" s="46" t="s">
        <v>2742</v>
      </c>
      <c r="B416" s="46"/>
      <c r="C416" s="49" t="n">
        <f aca="false">IF(OR(B416="",D416=""),0,COUNTIFS($B$2:$B$501,B416,$D$2:$D$501,"&lt;"&amp;D416)+COUNTIFS($B$2:$B$501,B416,$D$2:$D$501,D416,$A$2:$A$501,"&lt;"&amp;A416)+1)</f>
        <v>0</v>
      </c>
      <c r="D416" s="46"/>
      <c r="E416" s="46"/>
      <c r="F416" s="46"/>
      <c r="G416" s="46"/>
      <c r="H416" s="46"/>
      <c r="I416" s="46"/>
      <c r="J416" s="46"/>
      <c r="K416" s="46"/>
      <c r="L416" s="46"/>
      <c r="M416" s="46" t="str">
        <f aca="false">IF(B416="","",IF(H416&lt;&gt;"Yes","No",IF(C416=SUMPRODUCT(MAX(($B$2:$B$501=B416)*($H$2:$H$501="Yes")*$C$2:$C$501)),"Yes","No")))</f>
        <v/>
      </c>
      <c r="N416" s="46" t="str">
        <f aca="false">IF(B416="","",IF(H416&lt;&gt;"Yes","Not frozen",IF(AND(J416="Yes",K416="Yes",L416="Yes"),"Complete","Incomplete")))</f>
        <v/>
      </c>
      <c r="O416" s="46" t="str">
        <f aca="false">IF(B416="","",IF(OR(F416="Simbli",F416="Shared folder"),"Yes","No"))</f>
        <v/>
      </c>
      <c r="P416" s="46"/>
    </row>
    <row r="417" customFormat="false" ht="15" hidden="false" customHeight="false" outlineLevel="0" collapsed="false">
      <c r="A417" s="46" t="s">
        <v>2743</v>
      </c>
      <c r="B417" s="46"/>
      <c r="C417" s="49" t="n">
        <f aca="false">IF(OR(B417="",D417=""),0,COUNTIFS($B$2:$B$501,B417,$D$2:$D$501,"&lt;"&amp;D417)+COUNTIFS($B$2:$B$501,B417,$D$2:$D$501,D417,$A$2:$A$501,"&lt;"&amp;A417)+1)</f>
        <v>0</v>
      </c>
      <c r="D417" s="46"/>
      <c r="E417" s="46"/>
      <c r="F417" s="46"/>
      <c r="G417" s="46"/>
      <c r="H417" s="46"/>
      <c r="I417" s="46"/>
      <c r="J417" s="46"/>
      <c r="K417" s="46"/>
      <c r="L417" s="46"/>
      <c r="M417" s="46" t="str">
        <f aca="false">IF(B417="","",IF(H417&lt;&gt;"Yes","No",IF(C417=SUMPRODUCT(MAX(($B$2:$B$501=B417)*($H$2:$H$501="Yes")*$C$2:$C$501)),"Yes","No")))</f>
        <v/>
      </c>
      <c r="N417" s="46" t="str">
        <f aca="false">IF(B417="","",IF(H417&lt;&gt;"Yes","Not frozen",IF(AND(J417="Yes",K417="Yes",L417="Yes"),"Complete","Incomplete")))</f>
        <v/>
      </c>
      <c r="O417" s="46" t="str">
        <f aca="false">IF(B417="","",IF(OR(F417="Simbli",F417="Shared folder"),"Yes","No"))</f>
        <v/>
      </c>
      <c r="P417" s="46"/>
    </row>
    <row r="418" customFormat="false" ht="15" hidden="false" customHeight="false" outlineLevel="0" collapsed="false">
      <c r="A418" s="46" t="s">
        <v>2744</v>
      </c>
      <c r="B418" s="46"/>
      <c r="C418" s="49" t="n">
        <f aca="false">IF(OR(B418="",D418=""),0,COUNTIFS($B$2:$B$501,B418,$D$2:$D$501,"&lt;"&amp;D418)+COUNTIFS($B$2:$B$501,B418,$D$2:$D$501,D418,$A$2:$A$501,"&lt;"&amp;A418)+1)</f>
        <v>0</v>
      </c>
      <c r="D418" s="46"/>
      <c r="E418" s="46"/>
      <c r="F418" s="46"/>
      <c r="G418" s="46"/>
      <c r="H418" s="46"/>
      <c r="I418" s="46"/>
      <c r="J418" s="46"/>
      <c r="K418" s="46"/>
      <c r="L418" s="46"/>
      <c r="M418" s="46" t="str">
        <f aca="false">IF(B418="","",IF(H418&lt;&gt;"Yes","No",IF(C418=SUMPRODUCT(MAX(($B$2:$B$501=B418)*($H$2:$H$501="Yes")*$C$2:$C$501)),"Yes","No")))</f>
        <v/>
      </c>
      <c r="N418" s="46" t="str">
        <f aca="false">IF(B418="","",IF(H418&lt;&gt;"Yes","Not frozen",IF(AND(J418="Yes",K418="Yes",L418="Yes"),"Complete","Incomplete")))</f>
        <v/>
      </c>
      <c r="O418" s="46" t="str">
        <f aca="false">IF(B418="","",IF(OR(F418="Simbli",F418="Shared folder"),"Yes","No"))</f>
        <v/>
      </c>
      <c r="P418" s="46"/>
    </row>
    <row r="419" customFormat="false" ht="15" hidden="false" customHeight="false" outlineLevel="0" collapsed="false">
      <c r="A419" s="46" t="s">
        <v>2745</v>
      </c>
      <c r="B419" s="46"/>
      <c r="C419" s="49" t="n">
        <f aca="false">IF(OR(B419="",D419=""),0,COUNTIFS($B$2:$B$501,B419,$D$2:$D$501,"&lt;"&amp;D419)+COUNTIFS($B$2:$B$501,B419,$D$2:$D$501,D419,$A$2:$A$501,"&lt;"&amp;A419)+1)</f>
        <v>0</v>
      </c>
      <c r="D419" s="46"/>
      <c r="E419" s="46"/>
      <c r="F419" s="46"/>
      <c r="G419" s="46"/>
      <c r="H419" s="46"/>
      <c r="I419" s="46"/>
      <c r="J419" s="46"/>
      <c r="K419" s="46"/>
      <c r="L419" s="46"/>
      <c r="M419" s="46" t="str">
        <f aca="false">IF(B419="","",IF(H419&lt;&gt;"Yes","No",IF(C419=SUMPRODUCT(MAX(($B$2:$B$501=B419)*($H$2:$H$501="Yes")*$C$2:$C$501)),"Yes","No")))</f>
        <v/>
      </c>
      <c r="N419" s="46" t="str">
        <f aca="false">IF(B419="","",IF(H419&lt;&gt;"Yes","Not frozen",IF(AND(J419="Yes",K419="Yes",L419="Yes"),"Complete","Incomplete")))</f>
        <v/>
      </c>
      <c r="O419" s="46" t="str">
        <f aca="false">IF(B419="","",IF(OR(F419="Simbli",F419="Shared folder"),"Yes","No"))</f>
        <v/>
      </c>
      <c r="P419" s="46"/>
    </row>
    <row r="420" customFormat="false" ht="15" hidden="false" customHeight="false" outlineLevel="0" collapsed="false">
      <c r="A420" s="46" t="s">
        <v>2746</v>
      </c>
      <c r="B420" s="46"/>
      <c r="C420" s="49" t="n">
        <f aca="false">IF(OR(B420="",D420=""),0,COUNTIFS($B$2:$B$501,B420,$D$2:$D$501,"&lt;"&amp;D420)+COUNTIFS($B$2:$B$501,B420,$D$2:$D$501,D420,$A$2:$A$501,"&lt;"&amp;A420)+1)</f>
        <v>0</v>
      </c>
      <c r="D420" s="46"/>
      <c r="E420" s="46"/>
      <c r="F420" s="46"/>
      <c r="G420" s="46"/>
      <c r="H420" s="46"/>
      <c r="I420" s="46"/>
      <c r="J420" s="46"/>
      <c r="K420" s="46"/>
      <c r="L420" s="46"/>
      <c r="M420" s="46" t="str">
        <f aca="false">IF(B420="","",IF(H420&lt;&gt;"Yes","No",IF(C420=SUMPRODUCT(MAX(($B$2:$B$501=B420)*($H$2:$H$501="Yes")*$C$2:$C$501)),"Yes","No")))</f>
        <v/>
      </c>
      <c r="N420" s="46" t="str">
        <f aca="false">IF(B420="","",IF(H420&lt;&gt;"Yes","Not frozen",IF(AND(J420="Yes",K420="Yes",L420="Yes"),"Complete","Incomplete")))</f>
        <v/>
      </c>
      <c r="O420" s="46" t="str">
        <f aca="false">IF(B420="","",IF(OR(F420="Simbli",F420="Shared folder"),"Yes","No"))</f>
        <v/>
      </c>
      <c r="P420" s="46"/>
    </row>
    <row r="421" customFormat="false" ht="15" hidden="false" customHeight="false" outlineLevel="0" collapsed="false">
      <c r="A421" s="46" t="s">
        <v>2747</v>
      </c>
      <c r="B421" s="46"/>
      <c r="C421" s="49" t="n">
        <f aca="false">IF(OR(B421="",D421=""),0,COUNTIFS($B$2:$B$501,B421,$D$2:$D$501,"&lt;"&amp;D421)+COUNTIFS($B$2:$B$501,B421,$D$2:$D$501,D421,$A$2:$A$501,"&lt;"&amp;A421)+1)</f>
        <v>0</v>
      </c>
      <c r="D421" s="46"/>
      <c r="E421" s="46"/>
      <c r="F421" s="46"/>
      <c r="G421" s="46"/>
      <c r="H421" s="46"/>
      <c r="I421" s="46"/>
      <c r="J421" s="46"/>
      <c r="K421" s="46"/>
      <c r="L421" s="46"/>
      <c r="M421" s="46" t="str">
        <f aca="false">IF(B421="","",IF(H421&lt;&gt;"Yes","No",IF(C421=SUMPRODUCT(MAX(($B$2:$B$501=B421)*($H$2:$H$501="Yes")*$C$2:$C$501)),"Yes","No")))</f>
        <v/>
      </c>
      <c r="N421" s="46" t="str">
        <f aca="false">IF(B421="","",IF(H421&lt;&gt;"Yes","Not frozen",IF(AND(J421="Yes",K421="Yes",L421="Yes"),"Complete","Incomplete")))</f>
        <v/>
      </c>
      <c r="O421" s="46" t="str">
        <f aca="false">IF(B421="","",IF(OR(F421="Simbli",F421="Shared folder"),"Yes","No"))</f>
        <v/>
      </c>
      <c r="P421" s="46"/>
    </row>
    <row r="422" customFormat="false" ht="15" hidden="false" customHeight="false" outlineLevel="0" collapsed="false">
      <c r="A422" s="46" t="s">
        <v>2748</v>
      </c>
      <c r="B422" s="46"/>
      <c r="C422" s="49" t="n">
        <f aca="false">IF(OR(B422="",D422=""),0,COUNTIFS($B$2:$B$501,B422,$D$2:$D$501,"&lt;"&amp;D422)+COUNTIFS($B$2:$B$501,B422,$D$2:$D$501,D422,$A$2:$A$501,"&lt;"&amp;A422)+1)</f>
        <v>0</v>
      </c>
      <c r="D422" s="46"/>
      <c r="E422" s="46"/>
      <c r="F422" s="46"/>
      <c r="G422" s="46"/>
      <c r="H422" s="46"/>
      <c r="I422" s="46"/>
      <c r="J422" s="46"/>
      <c r="K422" s="46"/>
      <c r="L422" s="46"/>
      <c r="M422" s="46" t="str">
        <f aca="false">IF(B422="","",IF(H422&lt;&gt;"Yes","No",IF(C422=SUMPRODUCT(MAX(($B$2:$B$501=B422)*($H$2:$H$501="Yes")*$C$2:$C$501)),"Yes","No")))</f>
        <v/>
      </c>
      <c r="N422" s="46" t="str">
        <f aca="false">IF(B422="","",IF(H422&lt;&gt;"Yes","Not frozen",IF(AND(J422="Yes",K422="Yes",L422="Yes"),"Complete","Incomplete")))</f>
        <v/>
      </c>
      <c r="O422" s="46" t="str">
        <f aca="false">IF(B422="","",IF(OR(F422="Simbli",F422="Shared folder"),"Yes","No"))</f>
        <v/>
      </c>
      <c r="P422" s="46"/>
    </row>
    <row r="423" customFormat="false" ht="15" hidden="false" customHeight="false" outlineLevel="0" collapsed="false">
      <c r="A423" s="46" t="s">
        <v>2749</v>
      </c>
      <c r="B423" s="46"/>
      <c r="C423" s="49" t="n">
        <f aca="false">IF(OR(B423="",D423=""),0,COUNTIFS($B$2:$B$501,B423,$D$2:$D$501,"&lt;"&amp;D423)+COUNTIFS($B$2:$B$501,B423,$D$2:$D$501,D423,$A$2:$A$501,"&lt;"&amp;A423)+1)</f>
        <v>0</v>
      </c>
      <c r="D423" s="46"/>
      <c r="E423" s="46"/>
      <c r="F423" s="46"/>
      <c r="G423" s="46"/>
      <c r="H423" s="46"/>
      <c r="I423" s="46"/>
      <c r="J423" s="46"/>
      <c r="K423" s="46"/>
      <c r="L423" s="46"/>
      <c r="M423" s="46" t="str">
        <f aca="false">IF(B423="","",IF(H423&lt;&gt;"Yes","No",IF(C423=SUMPRODUCT(MAX(($B$2:$B$501=B423)*($H$2:$H$501="Yes")*$C$2:$C$501)),"Yes","No")))</f>
        <v/>
      </c>
      <c r="N423" s="46" t="str">
        <f aca="false">IF(B423="","",IF(H423&lt;&gt;"Yes","Not frozen",IF(AND(J423="Yes",K423="Yes",L423="Yes"),"Complete","Incomplete")))</f>
        <v/>
      </c>
      <c r="O423" s="46" t="str">
        <f aca="false">IF(B423="","",IF(OR(F423="Simbli",F423="Shared folder"),"Yes","No"))</f>
        <v/>
      </c>
      <c r="P423" s="46"/>
    </row>
    <row r="424" customFormat="false" ht="15" hidden="false" customHeight="false" outlineLevel="0" collapsed="false">
      <c r="A424" s="46" t="s">
        <v>2750</v>
      </c>
      <c r="B424" s="46"/>
      <c r="C424" s="49" t="n">
        <f aca="false">IF(OR(B424="",D424=""),0,COUNTIFS($B$2:$B$501,B424,$D$2:$D$501,"&lt;"&amp;D424)+COUNTIFS($B$2:$B$501,B424,$D$2:$D$501,D424,$A$2:$A$501,"&lt;"&amp;A424)+1)</f>
        <v>0</v>
      </c>
      <c r="D424" s="46"/>
      <c r="E424" s="46"/>
      <c r="F424" s="46"/>
      <c r="G424" s="46"/>
      <c r="H424" s="46"/>
      <c r="I424" s="46"/>
      <c r="J424" s="46"/>
      <c r="K424" s="46"/>
      <c r="L424" s="46"/>
      <c r="M424" s="46" t="str">
        <f aca="false">IF(B424="","",IF(H424&lt;&gt;"Yes","No",IF(C424=SUMPRODUCT(MAX(($B$2:$B$501=B424)*($H$2:$H$501="Yes")*$C$2:$C$501)),"Yes","No")))</f>
        <v/>
      </c>
      <c r="N424" s="46" t="str">
        <f aca="false">IF(B424="","",IF(H424&lt;&gt;"Yes","Not frozen",IF(AND(J424="Yes",K424="Yes",L424="Yes"),"Complete","Incomplete")))</f>
        <v/>
      </c>
      <c r="O424" s="46" t="str">
        <f aca="false">IF(B424="","",IF(OR(F424="Simbli",F424="Shared folder"),"Yes","No"))</f>
        <v/>
      </c>
      <c r="P424" s="46"/>
    </row>
    <row r="425" customFormat="false" ht="15" hidden="false" customHeight="false" outlineLevel="0" collapsed="false">
      <c r="A425" s="46" t="s">
        <v>2751</v>
      </c>
      <c r="B425" s="46"/>
      <c r="C425" s="49" t="n">
        <f aca="false">IF(OR(B425="",D425=""),0,COUNTIFS($B$2:$B$501,B425,$D$2:$D$501,"&lt;"&amp;D425)+COUNTIFS($B$2:$B$501,B425,$D$2:$D$501,D425,$A$2:$A$501,"&lt;"&amp;A425)+1)</f>
        <v>0</v>
      </c>
      <c r="D425" s="46"/>
      <c r="E425" s="46"/>
      <c r="F425" s="46"/>
      <c r="G425" s="46"/>
      <c r="H425" s="46"/>
      <c r="I425" s="46"/>
      <c r="J425" s="46"/>
      <c r="K425" s="46"/>
      <c r="L425" s="46"/>
      <c r="M425" s="46" t="str">
        <f aca="false">IF(B425="","",IF(H425&lt;&gt;"Yes","No",IF(C425=SUMPRODUCT(MAX(($B$2:$B$501=B425)*($H$2:$H$501="Yes")*$C$2:$C$501)),"Yes","No")))</f>
        <v/>
      </c>
      <c r="N425" s="46" t="str">
        <f aca="false">IF(B425="","",IF(H425&lt;&gt;"Yes","Not frozen",IF(AND(J425="Yes",K425="Yes",L425="Yes"),"Complete","Incomplete")))</f>
        <v/>
      </c>
      <c r="O425" s="46" t="str">
        <f aca="false">IF(B425="","",IF(OR(F425="Simbli",F425="Shared folder"),"Yes","No"))</f>
        <v/>
      </c>
      <c r="P425" s="46"/>
    </row>
    <row r="426" customFormat="false" ht="15" hidden="false" customHeight="false" outlineLevel="0" collapsed="false">
      <c r="A426" s="46" t="s">
        <v>2752</v>
      </c>
      <c r="B426" s="46"/>
      <c r="C426" s="49" t="n">
        <f aca="false">IF(OR(B426="",D426=""),0,COUNTIFS($B$2:$B$501,B426,$D$2:$D$501,"&lt;"&amp;D426)+COUNTIFS($B$2:$B$501,B426,$D$2:$D$501,D426,$A$2:$A$501,"&lt;"&amp;A426)+1)</f>
        <v>0</v>
      </c>
      <c r="D426" s="46"/>
      <c r="E426" s="46"/>
      <c r="F426" s="46"/>
      <c r="G426" s="46"/>
      <c r="H426" s="46"/>
      <c r="I426" s="46"/>
      <c r="J426" s="46"/>
      <c r="K426" s="46"/>
      <c r="L426" s="46"/>
      <c r="M426" s="46" t="str">
        <f aca="false">IF(B426="","",IF(H426&lt;&gt;"Yes","No",IF(C426=SUMPRODUCT(MAX(($B$2:$B$501=B426)*($H$2:$H$501="Yes")*$C$2:$C$501)),"Yes","No")))</f>
        <v/>
      </c>
      <c r="N426" s="46" t="str">
        <f aca="false">IF(B426="","",IF(H426&lt;&gt;"Yes","Not frozen",IF(AND(J426="Yes",K426="Yes",L426="Yes"),"Complete","Incomplete")))</f>
        <v/>
      </c>
      <c r="O426" s="46" t="str">
        <f aca="false">IF(B426="","",IF(OR(F426="Simbli",F426="Shared folder"),"Yes","No"))</f>
        <v/>
      </c>
      <c r="P426" s="46"/>
    </row>
    <row r="427" customFormat="false" ht="15" hidden="false" customHeight="false" outlineLevel="0" collapsed="false">
      <c r="A427" s="46" t="s">
        <v>2753</v>
      </c>
      <c r="B427" s="46"/>
      <c r="C427" s="49" t="n">
        <f aca="false">IF(OR(B427="",D427=""),0,COUNTIFS($B$2:$B$501,B427,$D$2:$D$501,"&lt;"&amp;D427)+COUNTIFS($B$2:$B$501,B427,$D$2:$D$501,D427,$A$2:$A$501,"&lt;"&amp;A427)+1)</f>
        <v>0</v>
      </c>
      <c r="D427" s="46"/>
      <c r="E427" s="46"/>
      <c r="F427" s="46"/>
      <c r="G427" s="46"/>
      <c r="H427" s="46"/>
      <c r="I427" s="46"/>
      <c r="J427" s="46"/>
      <c r="K427" s="46"/>
      <c r="L427" s="46"/>
      <c r="M427" s="46" t="str">
        <f aca="false">IF(B427="","",IF(H427&lt;&gt;"Yes","No",IF(C427=SUMPRODUCT(MAX(($B$2:$B$501=B427)*($H$2:$H$501="Yes")*$C$2:$C$501)),"Yes","No")))</f>
        <v/>
      </c>
      <c r="N427" s="46" t="str">
        <f aca="false">IF(B427="","",IF(H427&lt;&gt;"Yes","Not frozen",IF(AND(J427="Yes",K427="Yes",L427="Yes"),"Complete","Incomplete")))</f>
        <v/>
      </c>
      <c r="O427" s="46" t="str">
        <f aca="false">IF(B427="","",IF(OR(F427="Simbli",F427="Shared folder"),"Yes","No"))</f>
        <v/>
      </c>
      <c r="P427" s="46"/>
    </row>
    <row r="428" customFormat="false" ht="15" hidden="false" customHeight="false" outlineLevel="0" collapsed="false">
      <c r="A428" s="46" t="s">
        <v>2754</v>
      </c>
      <c r="B428" s="46"/>
      <c r="C428" s="49" t="n">
        <f aca="false">IF(OR(B428="",D428=""),0,COUNTIFS($B$2:$B$501,B428,$D$2:$D$501,"&lt;"&amp;D428)+COUNTIFS($B$2:$B$501,B428,$D$2:$D$501,D428,$A$2:$A$501,"&lt;"&amp;A428)+1)</f>
        <v>0</v>
      </c>
      <c r="D428" s="46"/>
      <c r="E428" s="46"/>
      <c r="F428" s="46"/>
      <c r="G428" s="46"/>
      <c r="H428" s="46"/>
      <c r="I428" s="46"/>
      <c r="J428" s="46"/>
      <c r="K428" s="46"/>
      <c r="L428" s="46"/>
      <c r="M428" s="46" t="str">
        <f aca="false">IF(B428="","",IF(H428&lt;&gt;"Yes","No",IF(C428=SUMPRODUCT(MAX(($B$2:$B$501=B428)*($H$2:$H$501="Yes")*$C$2:$C$501)),"Yes","No")))</f>
        <v/>
      </c>
      <c r="N428" s="46" t="str">
        <f aca="false">IF(B428="","",IF(H428&lt;&gt;"Yes","Not frozen",IF(AND(J428="Yes",K428="Yes",L428="Yes"),"Complete","Incomplete")))</f>
        <v/>
      </c>
      <c r="O428" s="46" t="str">
        <f aca="false">IF(B428="","",IF(OR(F428="Simbli",F428="Shared folder"),"Yes","No"))</f>
        <v/>
      </c>
      <c r="P428" s="46"/>
    </row>
    <row r="429" customFormat="false" ht="15" hidden="false" customHeight="false" outlineLevel="0" collapsed="false">
      <c r="A429" s="46" t="s">
        <v>2755</v>
      </c>
      <c r="B429" s="46"/>
      <c r="C429" s="49" t="n">
        <f aca="false">IF(OR(B429="",D429=""),0,COUNTIFS($B$2:$B$501,B429,$D$2:$D$501,"&lt;"&amp;D429)+COUNTIFS($B$2:$B$501,B429,$D$2:$D$501,D429,$A$2:$A$501,"&lt;"&amp;A429)+1)</f>
        <v>0</v>
      </c>
      <c r="D429" s="46"/>
      <c r="E429" s="46"/>
      <c r="F429" s="46"/>
      <c r="G429" s="46"/>
      <c r="H429" s="46"/>
      <c r="I429" s="46"/>
      <c r="J429" s="46"/>
      <c r="K429" s="46"/>
      <c r="L429" s="46"/>
      <c r="M429" s="46" t="str">
        <f aca="false">IF(B429="","",IF(H429&lt;&gt;"Yes","No",IF(C429=SUMPRODUCT(MAX(($B$2:$B$501=B429)*($H$2:$H$501="Yes")*$C$2:$C$501)),"Yes","No")))</f>
        <v/>
      </c>
      <c r="N429" s="46" t="str">
        <f aca="false">IF(B429="","",IF(H429&lt;&gt;"Yes","Not frozen",IF(AND(J429="Yes",K429="Yes",L429="Yes"),"Complete","Incomplete")))</f>
        <v/>
      </c>
      <c r="O429" s="46" t="str">
        <f aca="false">IF(B429="","",IF(OR(F429="Simbli",F429="Shared folder"),"Yes","No"))</f>
        <v/>
      </c>
      <c r="P429" s="46"/>
    </row>
    <row r="430" customFormat="false" ht="15" hidden="false" customHeight="false" outlineLevel="0" collapsed="false">
      <c r="A430" s="46" t="s">
        <v>2756</v>
      </c>
      <c r="B430" s="46"/>
      <c r="C430" s="49" t="n">
        <f aca="false">IF(OR(B430="",D430=""),0,COUNTIFS($B$2:$B$501,B430,$D$2:$D$501,"&lt;"&amp;D430)+COUNTIFS($B$2:$B$501,B430,$D$2:$D$501,D430,$A$2:$A$501,"&lt;"&amp;A430)+1)</f>
        <v>0</v>
      </c>
      <c r="D430" s="46"/>
      <c r="E430" s="46"/>
      <c r="F430" s="46"/>
      <c r="G430" s="46"/>
      <c r="H430" s="46"/>
      <c r="I430" s="46"/>
      <c r="J430" s="46"/>
      <c r="K430" s="46"/>
      <c r="L430" s="46"/>
      <c r="M430" s="46" t="str">
        <f aca="false">IF(B430="","",IF(H430&lt;&gt;"Yes","No",IF(C430=SUMPRODUCT(MAX(($B$2:$B$501=B430)*($H$2:$H$501="Yes")*$C$2:$C$501)),"Yes","No")))</f>
        <v/>
      </c>
      <c r="N430" s="46" t="str">
        <f aca="false">IF(B430="","",IF(H430&lt;&gt;"Yes","Not frozen",IF(AND(J430="Yes",K430="Yes",L430="Yes"),"Complete","Incomplete")))</f>
        <v/>
      </c>
      <c r="O430" s="46" t="str">
        <f aca="false">IF(B430="","",IF(OR(F430="Simbli",F430="Shared folder"),"Yes","No"))</f>
        <v/>
      </c>
      <c r="P430" s="46"/>
    </row>
    <row r="431" customFormat="false" ht="15" hidden="false" customHeight="false" outlineLevel="0" collapsed="false">
      <c r="A431" s="46" t="s">
        <v>2757</v>
      </c>
      <c r="B431" s="46"/>
      <c r="C431" s="49" t="n">
        <f aca="false">IF(OR(B431="",D431=""),0,COUNTIFS($B$2:$B$501,B431,$D$2:$D$501,"&lt;"&amp;D431)+COUNTIFS($B$2:$B$501,B431,$D$2:$D$501,D431,$A$2:$A$501,"&lt;"&amp;A431)+1)</f>
        <v>0</v>
      </c>
      <c r="D431" s="46"/>
      <c r="E431" s="46"/>
      <c r="F431" s="46"/>
      <c r="G431" s="46"/>
      <c r="H431" s="46"/>
      <c r="I431" s="46"/>
      <c r="J431" s="46"/>
      <c r="K431" s="46"/>
      <c r="L431" s="46"/>
      <c r="M431" s="46" t="str">
        <f aca="false">IF(B431="","",IF(H431&lt;&gt;"Yes","No",IF(C431=SUMPRODUCT(MAX(($B$2:$B$501=B431)*($H$2:$H$501="Yes")*$C$2:$C$501)),"Yes","No")))</f>
        <v/>
      </c>
      <c r="N431" s="46" t="str">
        <f aca="false">IF(B431="","",IF(H431&lt;&gt;"Yes","Not frozen",IF(AND(J431="Yes",K431="Yes",L431="Yes"),"Complete","Incomplete")))</f>
        <v/>
      </c>
      <c r="O431" s="46" t="str">
        <f aca="false">IF(B431="","",IF(OR(F431="Simbli",F431="Shared folder"),"Yes","No"))</f>
        <v/>
      </c>
      <c r="P431" s="46"/>
    </row>
    <row r="432" customFormat="false" ht="15" hidden="false" customHeight="false" outlineLevel="0" collapsed="false">
      <c r="A432" s="46" t="s">
        <v>2758</v>
      </c>
      <c r="B432" s="46"/>
      <c r="C432" s="49" t="n">
        <f aca="false">IF(OR(B432="",D432=""),0,COUNTIFS($B$2:$B$501,B432,$D$2:$D$501,"&lt;"&amp;D432)+COUNTIFS($B$2:$B$501,B432,$D$2:$D$501,D432,$A$2:$A$501,"&lt;"&amp;A432)+1)</f>
        <v>0</v>
      </c>
      <c r="D432" s="46"/>
      <c r="E432" s="46"/>
      <c r="F432" s="46"/>
      <c r="G432" s="46"/>
      <c r="H432" s="46"/>
      <c r="I432" s="46"/>
      <c r="J432" s="46"/>
      <c r="K432" s="46"/>
      <c r="L432" s="46"/>
      <c r="M432" s="46" t="str">
        <f aca="false">IF(B432="","",IF(H432&lt;&gt;"Yes","No",IF(C432=SUMPRODUCT(MAX(($B$2:$B$501=B432)*($H$2:$H$501="Yes")*$C$2:$C$501)),"Yes","No")))</f>
        <v/>
      </c>
      <c r="N432" s="46" t="str">
        <f aca="false">IF(B432="","",IF(H432&lt;&gt;"Yes","Not frozen",IF(AND(J432="Yes",K432="Yes",L432="Yes"),"Complete","Incomplete")))</f>
        <v/>
      </c>
      <c r="O432" s="46" t="str">
        <f aca="false">IF(B432="","",IF(OR(F432="Simbli",F432="Shared folder"),"Yes","No"))</f>
        <v/>
      </c>
      <c r="P432" s="46"/>
    </row>
    <row r="433" customFormat="false" ht="15" hidden="false" customHeight="false" outlineLevel="0" collapsed="false">
      <c r="A433" s="46" t="s">
        <v>2759</v>
      </c>
      <c r="B433" s="46"/>
      <c r="C433" s="49" t="n">
        <f aca="false">IF(OR(B433="",D433=""),0,COUNTIFS($B$2:$B$501,B433,$D$2:$D$501,"&lt;"&amp;D433)+COUNTIFS($B$2:$B$501,B433,$D$2:$D$501,D433,$A$2:$A$501,"&lt;"&amp;A433)+1)</f>
        <v>0</v>
      </c>
      <c r="D433" s="46"/>
      <c r="E433" s="46"/>
      <c r="F433" s="46"/>
      <c r="G433" s="46"/>
      <c r="H433" s="46"/>
      <c r="I433" s="46"/>
      <c r="J433" s="46"/>
      <c r="K433" s="46"/>
      <c r="L433" s="46"/>
      <c r="M433" s="46" t="str">
        <f aca="false">IF(B433="","",IF(H433&lt;&gt;"Yes","No",IF(C433=SUMPRODUCT(MAX(($B$2:$B$501=B433)*($H$2:$H$501="Yes")*$C$2:$C$501)),"Yes","No")))</f>
        <v/>
      </c>
      <c r="N433" s="46" t="str">
        <f aca="false">IF(B433="","",IF(H433&lt;&gt;"Yes","Not frozen",IF(AND(J433="Yes",K433="Yes",L433="Yes"),"Complete","Incomplete")))</f>
        <v/>
      </c>
      <c r="O433" s="46" t="str">
        <f aca="false">IF(B433="","",IF(OR(F433="Simbli",F433="Shared folder"),"Yes","No"))</f>
        <v/>
      </c>
      <c r="P433" s="46"/>
    </row>
    <row r="434" customFormat="false" ht="15" hidden="false" customHeight="false" outlineLevel="0" collapsed="false">
      <c r="A434" s="46" t="s">
        <v>2760</v>
      </c>
      <c r="B434" s="46"/>
      <c r="C434" s="49" t="n">
        <f aca="false">IF(OR(B434="",D434=""),0,COUNTIFS($B$2:$B$501,B434,$D$2:$D$501,"&lt;"&amp;D434)+COUNTIFS($B$2:$B$501,B434,$D$2:$D$501,D434,$A$2:$A$501,"&lt;"&amp;A434)+1)</f>
        <v>0</v>
      </c>
      <c r="D434" s="46"/>
      <c r="E434" s="46"/>
      <c r="F434" s="46"/>
      <c r="G434" s="46"/>
      <c r="H434" s="46"/>
      <c r="I434" s="46"/>
      <c r="J434" s="46"/>
      <c r="K434" s="46"/>
      <c r="L434" s="46"/>
      <c r="M434" s="46" t="str">
        <f aca="false">IF(B434="","",IF(H434&lt;&gt;"Yes","No",IF(C434=SUMPRODUCT(MAX(($B$2:$B$501=B434)*($H$2:$H$501="Yes")*$C$2:$C$501)),"Yes","No")))</f>
        <v/>
      </c>
      <c r="N434" s="46" t="str">
        <f aca="false">IF(B434="","",IF(H434&lt;&gt;"Yes","Not frozen",IF(AND(J434="Yes",K434="Yes",L434="Yes"),"Complete","Incomplete")))</f>
        <v/>
      </c>
      <c r="O434" s="46" t="str">
        <f aca="false">IF(B434="","",IF(OR(F434="Simbli",F434="Shared folder"),"Yes","No"))</f>
        <v/>
      </c>
      <c r="P434" s="46"/>
    </row>
    <row r="435" customFormat="false" ht="15" hidden="false" customHeight="false" outlineLevel="0" collapsed="false">
      <c r="A435" s="46" t="s">
        <v>2761</v>
      </c>
      <c r="B435" s="46"/>
      <c r="C435" s="49" t="n">
        <f aca="false">IF(OR(B435="",D435=""),0,COUNTIFS($B$2:$B$501,B435,$D$2:$D$501,"&lt;"&amp;D435)+COUNTIFS($B$2:$B$501,B435,$D$2:$D$501,D435,$A$2:$A$501,"&lt;"&amp;A435)+1)</f>
        <v>0</v>
      </c>
      <c r="D435" s="46"/>
      <c r="E435" s="46"/>
      <c r="F435" s="46"/>
      <c r="G435" s="46"/>
      <c r="H435" s="46"/>
      <c r="I435" s="46"/>
      <c r="J435" s="46"/>
      <c r="K435" s="46"/>
      <c r="L435" s="46"/>
      <c r="M435" s="46" t="str">
        <f aca="false">IF(B435="","",IF(H435&lt;&gt;"Yes","No",IF(C435=SUMPRODUCT(MAX(($B$2:$B$501=B435)*($H$2:$H$501="Yes")*$C$2:$C$501)),"Yes","No")))</f>
        <v/>
      </c>
      <c r="N435" s="46" t="str">
        <f aca="false">IF(B435="","",IF(H435&lt;&gt;"Yes","Not frozen",IF(AND(J435="Yes",K435="Yes",L435="Yes"),"Complete","Incomplete")))</f>
        <v/>
      </c>
      <c r="O435" s="46" t="str">
        <f aca="false">IF(B435="","",IF(OR(F435="Simbli",F435="Shared folder"),"Yes","No"))</f>
        <v/>
      </c>
      <c r="P435" s="46"/>
    </row>
    <row r="436" customFormat="false" ht="15" hidden="false" customHeight="false" outlineLevel="0" collapsed="false">
      <c r="A436" s="46" t="s">
        <v>2762</v>
      </c>
      <c r="B436" s="46"/>
      <c r="C436" s="49" t="n">
        <f aca="false">IF(OR(B436="",D436=""),0,COUNTIFS($B$2:$B$501,B436,$D$2:$D$501,"&lt;"&amp;D436)+COUNTIFS($B$2:$B$501,B436,$D$2:$D$501,D436,$A$2:$A$501,"&lt;"&amp;A436)+1)</f>
        <v>0</v>
      </c>
      <c r="D436" s="46"/>
      <c r="E436" s="46"/>
      <c r="F436" s="46"/>
      <c r="G436" s="46"/>
      <c r="H436" s="46"/>
      <c r="I436" s="46"/>
      <c r="J436" s="46"/>
      <c r="K436" s="46"/>
      <c r="L436" s="46"/>
      <c r="M436" s="46" t="str">
        <f aca="false">IF(B436="","",IF(H436&lt;&gt;"Yes","No",IF(C436=SUMPRODUCT(MAX(($B$2:$B$501=B436)*($H$2:$H$501="Yes")*$C$2:$C$501)),"Yes","No")))</f>
        <v/>
      </c>
      <c r="N436" s="46" t="str">
        <f aca="false">IF(B436="","",IF(H436&lt;&gt;"Yes","Not frozen",IF(AND(J436="Yes",K436="Yes",L436="Yes"),"Complete","Incomplete")))</f>
        <v/>
      </c>
      <c r="O436" s="46" t="str">
        <f aca="false">IF(B436="","",IF(OR(F436="Simbli",F436="Shared folder"),"Yes","No"))</f>
        <v/>
      </c>
      <c r="P436" s="46"/>
    </row>
    <row r="437" customFormat="false" ht="15" hidden="false" customHeight="false" outlineLevel="0" collapsed="false">
      <c r="A437" s="46" t="s">
        <v>2763</v>
      </c>
      <c r="B437" s="46"/>
      <c r="C437" s="49" t="n">
        <f aca="false">IF(OR(B437="",D437=""),0,COUNTIFS($B$2:$B$501,B437,$D$2:$D$501,"&lt;"&amp;D437)+COUNTIFS($B$2:$B$501,B437,$D$2:$D$501,D437,$A$2:$A$501,"&lt;"&amp;A437)+1)</f>
        <v>0</v>
      </c>
      <c r="D437" s="46"/>
      <c r="E437" s="46"/>
      <c r="F437" s="46"/>
      <c r="G437" s="46"/>
      <c r="H437" s="46"/>
      <c r="I437" s="46"/>
      <c r="J437" s="46"/>
      <c r="K437" s="46"/>
      <c r="L437" s="46"/>
      <c r="M437" s="46" t="str">
        <f aca="false">IF(B437="","",IF(H437&lt;&gt;"Yes","No",IF(C437=SUMPRODUCT(MAX(($B$2:$B$501=B437)*($H$2:$H$501="Yes")*$C$2:$C$501)),"Yes","No")))</f>
        <v/>
      </c>
      <c r="N437" s="46" t="str">
        <f aca="false">IF(B437="","",IF(H437&lt;&gt;"Yes","Not frozen",IF(AND(J437="Yes",K437="Yes",L437="Yes"),"Complete","Incomplete")))</f>
        <v/>
      </c>
      <c r="O437" s="46" t="str">
        <f aca="false">IF(B437="","",IF(OR(F437="Simbli",F437="Shared folder"),"Yes","No"))</f>
        <v/>
      </c>
      <c r="P437" s="46"/>
    </row>
    <row r="438" customFormat="false" ht="15" hidden="false" customHeight="false" outlineLevel="0" collapsed="false">
      <c r="A438" s="46" t="s">
        <v>2764</v>
      </c>
      <c r="B438" s="46"/>
      <c r="C438" s="49" t="n">
        <f aca="false">IF(OR(B438="",D438=""),0,COUNTIFS($B$2:$B$501,B438,$D$2:$D$501,"&lt;"&amp;D438)+COUNTIFS($B$2:$B$501,B438,$D$2:$D$501,D438,$A$2:$A$501,"&lt;"&amp;A438)+1)</f>
        <v>0</v>
      </c>
      <c r="D438" s="46"/>
      <c r="E438" s="46"/>
      <c r="F438" s="46"/>
      <c r="G438" s="46"/>
      <c r="H438" s="46"/>
      <c r="I438" s="46"/>
      <c r="J438" s="46"/>
      <c r="K438" s="46"/>
      <c r="L438" s="46"/>
      <c r="M438" s="46" t="str">
        <f aca="false">IF(B438="","",IF(H438&lt;&gt;"Yes","No",IF(C438=SUMPRODUCT(MAX(($B$2:$B$501=B438)*($H$2:$H$501="Yes")*$C$2:$C$501)),"Yes","No")))</f>
        <v/>
      </c>
      <c r="N438" s="46" t="str">
        <f aca="false">IF(B438="","",IF(H438&lt;&gt;"Yes","Not frozen",IF(AND(J438="Yes",K438="Yes",L438="Yes"),"Complete","Incomplete")))</f>
        <v/>
      </c>
      <c r="O438" s="46" t="str">
        <f aca="false">IF(B438="","",IF(OR(F438="Simbli",F438="Shared folder"),"Yes","No"))</f>
        <v/>
      </c>
      <c r="P438" s="46"/>
    </row>
    <row r="439" customFormat="false" ht="15" hidden="false" customHeight="false" outlineLevel="0" collapsed="false">
      <c r="A439" s="46" t="s">
        <v>2765</v>
      </c>
      <c r="B439" s="46"/>
      <c r="C439" s="49" t="n">
        <f aca="false">IF(OR(B439="",D439=""),0,COUNTIFS($B$2:$B$501,B439,$D$2:$D$501,"&lt;"&amp;D439)+COUNTIFS($B$2:$B$501,B439,$D$2:$D$501,D439,$A$2:$A$501,"&lt;"&amp;A439)+1)</f>
        <v>0</v>
      </c>
      <c r="D439" s="46"/>
      <c r="E439" s="46"/>
      <c r="F439" s="46"/>
      <c r="G439" s="46"/>
      <c r="H439" s="46"/>
      <c r="I439" s="46"/>
      <c r="J439" s="46"/>
      <c r="K439" s="46"/>
      <c r="L439" s="46"/>
      <c r="M439" s="46" t="str">
        <f aca="false">IF(B439="","",IF(H439&lt;&gt;"Yes","No",IF(C439=SUMPRODUCT(MAX(($B$2:$B$501=B439)*($H$2:$H$501="Yes")*$C$2:$C$501)),"Yes","No")))</f>
        <v/>
      </c>
      <c r="N439" s="46" t="str">
        <f aca="false">IF(B439="","",IF(H439&lt;&gt;"Yes","Not frozen",IF(AND(J439="Yes",K439="Yes",L439="Yes"),"Complete","Incomplete")))</f>
        <v/>
      </c>
      <c r="O439" s="46" t="str">
        <f aca="false">IF(B439="","",IF(OR(F439="Simbli",F439="Shared folder"),"Yes","No"))</f>
        <v/>
      </c>
      <c r="P439" s="46"/>
    </row>
    <row r="440" customFormat="false" ht="15" hidden="false" customHeight="false" outlineLevel="0" collapsed="false">
      <c r="A440" s="46" t="s">
        <v>2766</v>
      </c>
      <c r="B440" s="46"/>
      <c r="C440" s="49" t="n">
        <f aca="false">IF(OR(B440="",D440=""),0,COUNTIFS($B$2:$B$501,B440,$D$2:$D$501,"&lt;"&amp;D440)+COUNTIFS($B$2:$B$501,B440,$D$2:$D$501,D440,$A$2:$A$501,"&lt;"&amp;A440)+1)</f>
        <v>0</v>
      </c>
      <c r="D440" s="46"/>
      <c r="E440" s="46"/>
      <c r="F440" s="46"/>
      <c r="G440" s="46"/>
      <c r="H440" s="46"/>
      <c r="I440" s="46"/>
      <c r="J440" s="46"/>
      <c r="K440" s="46"/>
      <c r="L440" s="46"/>
      <c r="M440" s="46" t="str">
        <f aca="false">IF(B440="","",IF(H440&lt;&gt;"Yes","No",IF(C440=SUMPRODUCT(MAX(($B$2:$B$501=B440)*($H$2:$H$501="Yes")*$C$2:$C$501)),"Yes","No")))</f>
        <v/>
      </c>
      <c r="N440" s="46" t="str">
        <f aca="false">IF(B440="","",IF(H440&lt;&gt;"Yes","Not frozen",IF(AND(J440="Yes",K440="Yes",L440="Yes"),"Complete","Incomplete")))</f>
        <v/>
      </c>
      <c r="O440" s="46" t="str">
        <f aca="false">IF(B440="","",IF(OR(F440="Simbli",F440="Shared folder"),"Yes","No"))</f>
        <v/>
      </c>
      <c r="P440" s="46"/>
    </row>
    <row r="441" customFormat="false" ht="15" hidden="false" customHeight="false" outlineLevel="0" collapsed="false">
      <c r="A441" s="46" t="s">
        <v>2767</v>
      </c>
      <c r="B441" s="46"/>
      <c r="C441" s="49" t="n">
        <f aca="false">IF(OR(B441="",D441=""),0,COUNTIFS($B$2:$B$501,B441,$D$2:$D$501,"&lt;"&amp;D441)+COUNTIFS($B$2:$B$501,B441,$D$2:$D$501,D441,$A$2:$A$501,"&lt;"&amp;A441)+1)</f>
        <v>0</v>
      </c>
      <c r="D441" s="46"/>
      <c r="E441" s="46"/>
      <c r="F441" s="46"/>
      <c r="G441" s="46"/>
      <c r="H441" s="46"/>
      <c r="I441" s="46"/>
      <c r="J441" s="46"/>
      <c r="K441" s="46"/>
      <c r="L441" s="46"/>
      <c r="M441" s="46" t="str">
        <f aca="false">IF(B441="","",IF(H441&lt;&gt;"Yes","No",IF(C441=SUMPRODUCT(MAX(($B$2:$B$501=B441)*($H$2:$H$501="Yes")*$C$2:$C$501)),"Yes","No")))</f>
        <v/>
      </c>
      <c r="N441" s="46" t="str">
        <f aca="false">IF(B441="","",IF(H441&lt;&gt;"Yes","Not frozen",IF(AND(J441="Yes",K441="Yes",L441="Yes"),"Complete","Incomplete")))</f>
        <v/>
      </c>
      <c r="O441" s="46" t="str">
        <f aca="false">IF(B441="","",IF(OR(F441="Simbli",F441="Shared folder"),"Yes","No"))</f>
        <v/>
      </c>
      <c r="P441" s="46"/>
    </row>
    <row r="442" customFormat="false" ht="15" hidden="false" customHeight="false" outlineLevel="0" collapsed="false">
      <c r="A442" s="46" t="s">
        <v>2768</v>
      </c>
      <c r="B442" s="46"/>
      <c r="C442" s="49" t="n">
        <f aca="false">IF(OR(B442="",D442=""),0,COUNTIFS($B$2:$B$501,B442,$D$2:$D$501,"&lt;"&amp;D442)+COUNTIFS($B$2:$B$501,B442,$D$2:$D$501,D442,$A$2:$A$501,"&lt;"&amp;A442)+1)</f>
        <v>0</v>
      </c>
      <c r="D442" s="46"/>
      <c r="E442" s="46"/>
      <c r="F442" s="46"/>
      <c r="G442" s="46"/>
      <c r="H442" s="46"/>
      <c r="I442" s="46"/>
      <c r="J442" s="46"/>
      <c r="K442" s="46"/>
      <c r="L442" s="46"/>
      <c r="M442" s="46" t="str">
        <f aca="false">IF(B442="","",IF(H442&lt;&gt;"Yes","No",IF(C442=SUMPRODUCT(MAX(($B$2:$B$501=B442)*($H$2:$H$501="Yes")*$C$2:$C$501)),"Yes","No")))</f>
        <v/>
      </c>
      <c r="N442" s="46" t="str">
        <f aca="false">IF(B442="","",IF(H442&lt;&gt;"Yes","Not frozen",IF(AND(J442="Yes",K442="Yes",L442="Yes"),"Complete","Incomplete")))</f>
        <v/>
      </c>
      <c r="O442" s="46" t="str">
        <f aca="false">IF(B442="","",IF(OR(F442="Simbli",F442="Shared folder"),"Yes","No"))</f>
        <v/>
      </c>
      <c r="P442" s="46"/>
    </row>
    <row r="443" customFormat="false" ht="15" hidden="false" customHeight="false" outlineLevel="0" collapsed="false">
      <c r="A443" s="46" t="s">
        <v>2769</v>
      </c>
      <c r="B443" s="46"/>
      <c r="C443" s="49" t="n">
        <f aca="false">IF(OR(B443="",D443=""),0,COUNTIFS($B$2:$B$501,B443,$D$2:$D$501,"&lt;"&amp;D443)+COUNTIFS($B$2:$B$501,B443,$D$2:$D$501,D443,$A$2:$A$501,"&lt;"&amp;A443)+1)</f>
        <v>0</v>
      </c>
      <c r="D443" s="46"/>
      <c r="E443" s="46"/>
      <c r="F443" s="46"/>
      <c r="G443" s="46"/>
      <c r="H443" s="46"/>
      <c r="I443" s="46"/>
      <c r="J443" s="46"/>
      <c r="K443" s="46"/>
      <c r="L443" s="46"/>
      <c r="M443" s="46" t="str">
        <f aca="false">IF(B443="","",IF(H443&lt;&gt;"Yes","No",IF(C443=SUMPRODUCT(MAX(($B$2:$B$501=B443)*($H$2:$H$501="Yes")*$C$2:$C$501)),"Yes","No")))</f>
        <v/>
      </c>
      <c r="N443" s="46" t="str">
        <f aca="false">IF(B443="","",IF(H443&lt;&gt;"Yes","Not frozen",IF(AND(J443="Yes",K443="Yes",L443="Yes"),"Complete","Incomplete")))</f>
        <v/>
      </c>
      <c r="O443" s="46" t="str">
        <f aca="false">IF(B443="","",IF(OR(F443="Simbli",F443="Shared folder"),"Yes","No"))</f>
        <v/>
      </c>
      <c r="P443" s="46"/>
    </row>
    <row r="444" customFormat="false" ht="15" hidden="false" customHeight="false" outlineLevel="0" collapsed="false">
      <c r="A444" s="46" t="s">
        <v>2770</v>
      </c>
      <c r="B444" s="46"/>
      <c r="C444" s="49" t="n">
        <f aca="false">IF(OR(B444="",D444=""),0,COUNTIFS($B$2:$B$501,B444,$D$2:$D$501,"&lt;"&amp;D444)+COUNTIFS($B$2:$B$501,B444,$D$2:$D$501,D444,$A$2:$A$501,"&lt;"&amp;A444)+1)</f>
        <v>0</v>
      </c>
      <c r="D444" s="46"/>
      <c r="E444" s="46"/>
      <c r="F444" s="46"/>
      <c r="G444" s="46"/>
      <c r="H444" s="46"/>
      <c r="I444" s="46"/>
      <c r="J444" s="46"/>
      <c r="K444" s="46"/>
      <c r="L444" s="46"/>
      <c r="M444" s="46" t="str">
        <f aca="false">IF(B444="","",IF(H444&lt;&gt;"Yes","No",IF(C444=SUMPRODUCT(MAX(($B$2:$B$501=B444)*($H$2:$H$501="Yes")*$C$2:$C$501)),"Yes","No")))</f>
        <v/>
      </c>
      <c r="N444" s="46" t="str">
        <f aca="false">IF(B444="","",IF(H444&lt;&gt;"Yes","Not frozen",IF(AND(J444="Yes",K444="Yes",L444="Yes"),"Complete","Incomplete")))</f>
        <v/>
      </c>
      <c r="O444" s="46" t="str">
        <f aca="false">IF(B444="","",IF(OR(F444="Simbli",F444="Shared folder"),"Yes","No"))</f>
        <v/>
      </c>
      <c r="P444" s="46"/>
    </row>
    <row r="445" customFormat="false" ht="15" hidden="false" customHeight="false" outlineLevel="0" collapsed="false">
      <c r="A445" s="46" t="s">
        <v>2771</v>
      </c>
      <c r="B445" s="46"/>
      <c r="C445" s="49" t="n">
        <f aca="false">IF(OR(B445="",D445=""),0,COUNTIFS($B$2:$B$501,B445,$D$2:$D$501,"&lt;"&amp;D445)+COUNTIFS($B$2:$B$501,B445,$D$2:$D$501,D445,$A$2:$A$501,"&lt;"&amp;A445)+1)</f>
        <v>0</v>
      </c>
      <c r="D445" s="46"/>
      <c r="E445" s="46"/>
      <c r="F445" s="46"/>
      <c r="G445" s="46"/>
      <c r="H445" s="46"/>
      <c r="I445" s="46"/>
      <c r="J445" s="46"/>
      <c r="K445" s="46"/>
      <c r="L445" s="46"/>
      <c r="M445" s="46" t="str">
        <f aca="false">IF(B445="","",IF(H445&lt;&gt;"Yes","No",IF(C445=SUMPRODUCT(MAX(($B$2:$B$501=B445)*($H$2:$H$501="Yes")*$C$2:$C$501)),"Yes","No")))</f>
        <v/>
      </c>
      <c r="N445" s="46" t="str">
        <f aca="false">IF(B445="","",IF(H445&lt;&gt;"Yes","Not frozen",IF(AND(J445="Yes",K445="Yes",L445="Yes"),"Complete","Incomplete")))</f>
        <v/>
      </c>
      <c r="O445" s="46" t="str">
        <f aca="false">IF(B445="","",IF(OR(F445="Simbli",F445="Shared folder"),"Yes","No"))</f>
        <v/>
      </c>
      <c r="P445" s="46"/>
    </row>
    <row r="446" customFormat="false" ht="15" hidden="false" customHeight="false" outlineLevel="0" collapsed="false">
      <c r="A446" s="46" t="s">
        <v>2772</v>
      </c>
      <c r="B446" s="46"/>
      <c r="C446" s="49" t="n">
        <f aca="false">IF(OR(B446="",D446=""),0,COUNTIFS($B$2:$B$501,B446,$D$2:$D$501,"&lt;"&amp;D446)+COUNTIFS($B$2:$B$501,B446,$D$2:$D$501,D446,$A$2:$A$501,"&lt;"&amp;A446)+1)</f>
        <v>0</v>
      </c>
      <c r="D446" s="46"/>
      <c r="E446" s="46"/>
      <c r="F446" s="46"/>
      <c r="G446" s="46"/>
      <c r="H446" s="46"/>
      <c r="I446" s="46"/>
      <c r="J446" s="46"/>
      <c r="K446" s="46"/>
      <c r="L446" s="46"/>
      <c r="M446" s="46" t="str">
        <f aca="false">IF(B446="","",IF(H446&lt;&gt;"Yes","No",IF(C446=SUMPRODUCT(MAX(($B$2:$B$501=B446)*($H$2:$H$501="Yes")*$C$2:$C$501)),"Yes","No")))</f>
        <v/>
      </c>
      <c r="N446" s="46" t="str">
        <f aca="false">IF(B446="","",IF(H446&lt;&gt;"Yes","Not frozen",IF(AND(J446="Yes",K446="Yes",L446="Yes"),"Complete","Incomplete")))</f>
        <v/>
      </c>
      <c r="O446" s="46" t="str">
        <f aca="false">IF(B446="","",IF(OR(F446="Simbli",F446="Shared folder"),"Yes","No"))</f>
        <v/>
      </c>
      <c r="P446" s="46"/>
    </row>
    <row r="447" customFormat="false" ht="15" hidden="false" customHeight="false" outlineLevel="0" collapsed="false">
      <c r="A447" s="46" t="s">
        <v>2773</v>
      </c>
      <c r="B447" s="46"/>
      <c r="C447" s="49" t="n">
        <f aca="false">IF(OR(B447="",D447=""),0,COUNTIFS($B$2:$B$501,B447,$D$2:$D$501,"&lt;"&amp;D447)+COUNTIFS($B$2:$B$501,B447,$D$2:$D$501,D447,$A$2:$A$501,"&lt;"&amp;A447)+1)</f>
        <v>0</v>
      </c>
      <c r="D447" s="46"/>
      <c r="E447" s="46"/>
      <c r="F447" s="46"/>
      <c r="G447" s="46"/>
      <c r="H447" s="46"/>
      <c r="I447" s="46"/>
      <c r="J447" s="46"/>
      <c r="K447" s="46"/>
      <c r="L447" s="46"/>
      <c r="M447" s="46" t="str">
        <f aca="false">IF(B447="","",IF(H447&lt;&gt;"Yes","No",IF(C447=SUMPRODUCT(MAX(($B$2:$B$501=B447)*($H$2:$H$501="Yes")*$C$2:$C$501)),"Yes","No")))</f>
        <v/>
      </c>
      <c r="N447" s="46" t="str">
        <f aca="false">IF(B447="","",IF(H447&lt;&gt;"Yes","Not frozen",IF(AND(J447="Yes",K447="Yes",L447="Yes"),"Complete","Incomplete")))</f>
        <v/>
      </c>
      <c r="O447" s="46" t="str">
        <f aca="false">IF(B447="","",IF(OR(F447="Simbli",F447="Shared folder"),"Yes","No"))</f>
        <v/>
      </c>
      <c r="P447" s="46"/>
    </row>
    <row r="448" customFormat="false" ht="15" hidden="false" customHeight="false" outlineLevel="0" collapsed="false">
      <c r="A448" s="46" t="s">
        <v>2774</v>
      </c>
      <c r="B448" s="46"/>
      <c r="C448" s="49" t="n">
        <f aca="false">IF(OR(B448="",D448=""),0,COUNTIFS($B$2:$B$501,B448,$D$2:$D$501,"&lt;"&amp;D448)+COUNTIFS($B$2:$B$501,B448,$D$2:$D$501,D448,$A$2:$A$501,"&lt;"&amp;A448)+1)</f>
        <v>0</v>
      </c>
      <c r="D448" s="46"/>
      <c r="E448" s="46"/>
      <c r="F448" s="46"/>
      <c r="G448" s="46"/>
      <c r="H448" s="46"/>
      <c r="I448" s="46"/>
      <c r="J448" s="46"/>
      <c r="K448" s="46"/>
      <c r="L448" s="46"/>
      <c r="M448" s="46" t="str">
        <f aca="false">IF(B448="","",IF(H448&lt;&gt;"Yes","No",IF(C448=SUMPRODUCT(MAX(($B$2:$B$501=B448)*($H$2:$H$501="Yes")*$C$2:$C$501)),"Yes","No")))</f>
        <v/>
      </c>
      <c r="N448" s="46" t="str">
        <f aca="false">IF(B448="","",IF(H448&lt;&gt;"Yes","Not frozen",IF(AND(J448="Yes",K448="Yes",L448="Yes"),"Complete","Incomplete")))</f>
        <v/>
      </c>
      <c r="O448" s="46" t="str">
        <f aca="false">IF(B448="","",IF(OR(F448="Simbli",F448="Shared folder"),"Yes","No"))</f>
        <v/>
      </c>
      <c r="P448" s="46"/>
    </row>
    <row r="449" customFormat="false" ht="15" hidden="false" customHeight="false" outlineLevel="0" collapsed="false">
      <c r="A449" s="46" t="s">
        <v>2775</v>
      </c>
      <c r="B449" s="46"/>
      <c r="C449" s="49" t="n">
        <f aca="false">IF(OR(B449="",D449=""),0,COUNTIFS($B$2:$B$501,B449,$D$2:$D$501,"&lt;"&amp;D449)+COUNTIFS($B$2:$B$501,B449,$D$2:$D$501,D449,$A$2:$A$501,"&lt;"&amp;A449)+1)</f>
        <v>0</v>
      </c>
      <c r="D449" s="46"/>
      <c r="E449" s="46"/>
      <c r="F449" s="46"/>
      <c r="G449" s="46"/>
      <c r="H449" s="46"/>
      <c r="I449" s="46"/>
      <c r="J449" s="46"/>
      <c r="K449" s="46"/>
      <c r="L449" s="46"/>
      <c r="M449" s="46" t="str">
        <f aca="false">IF(B449="","",IF(H449&lt;&gt;"Yes","No",IF(C449=SUMPRODUCT(MAX(($B$2:$B$501=B449)*($H$2:$H$501="Yes")*$C$2:$C$501)),"Yes","No")))</f>
        <v/>
      </c>
      <c r="N449" s="46" t="str">
        <f aca="false">IF(B449="","",IF(H449&lt;&gt;"Yes","Not frozen",IF(AND(J449="Yes",K449="Yes",L449="Yes"),"Complete","Incomplete")))</f>
        <v/>
      </c>
      <c r="O449" s="46" t="str">
        <f aca="false">IF(B449="","",IF(OR(F449="Simbli",F449="Shared folder"),"Yes","No"))</f>
        <v/>
      </c>
      <c r="P449" s="46"/>
    </row>
    <row r="450" customFormat="false" ht="15" hidden="false" customHeight="false" outlineLevel="0" collapsed="false">
      <c r="A450" s="46" t="s">
        <v>2776</v>
      </c>
      <c r="B450" s="46"/>
      <c r="C450" s="49" t="n">
        <f aca="false">IF(OR(B450="",D450=""),0,COUNTIFS($B$2:$B$501,B450,$D$2:$D$501,"&lt;"&amp;D450)+COUNTIFS($B$2:$B$501,B450,$D$2:$D$501,D450,$A$2:$A$501,"&lt;"&amp;A450)+1)</f>
        <v>0</v>
      </c>
      <c r="D450" s="46"/>
      <c r="E450" s="46"/>
      <c r="F450" s="46"/>
      <c r="G450" s="46"/>
      <c r="H450" s="46"/>
      <c r="I450" s="46"/>
      <c r="J450" s="46"/>
      <c r="K450" s="46"/>
      <c r="L450" s="46"/>
      <c r="M450" s="46" t="str">
        <f aca="false">IF(B450="","",IF(H450&lt;&gt;"Yes","No",IF(C450=SUMPRODUCT(MAX(($B$2:$B$501=B450)*($H$2:$H$501="Yes")*$C$2:$C$501)),"Yes","No")))</f>
        <v/>
      </c>
      <c r="N450" s="46" t="str">
        <f aca="false">IF(B450="","",IF(H450&lt;&gt;"Yes","Not frozen",IF(AND(J450="Yes",K450="Yes",L450="Yes"),"Complete","Incomplete")))</f>
        <v/>
      </c>
      <c r="O450" s="46" t="str">
        <f aca="false">IF(B450="","",IF(OR(F450="Simbli",F450="Shared folder"),"Yes","No"))</f>
        <v/>
      </c>
      <c r="P450" s="46"/>
    </row>
    <row r="451" customFormat="false" ht="15" hidden="false" customHeight="false" outlineLevel="0" collapsed="false">
      <c r="A451" s="46" t="s">
        <v>2777</v>
      </c>
      <c r="B451" s="46"/>
      <c r="C451" s="49" t="n">
        <f aca="false">IF(OR(B451="",D451=""),0,COUNTIFS($B$2:$B$501,B451,$D$2:$D$501,"&lt;"&amp;D451)+COUNTIFS($B$2:$B$501,B451,$D$2:$D$501,D451,$A$2:$A$501,"&lt;"&amp;A451)+1)</f>
        <v>0</v>
      </c>
      <c r="D451" s="46"/>
      <c r="E451" s="46"/>
      <c r="F451" s="46"/>
      <c r="G451" s="46"/>
      <c r="H451" s="46"/>
      <c r="I451" s="46"/>
      <c r="J451" s="46"/>
      <c r="K451" s="46"/>
      <c r="L451" s="46"/>
      <c r="M451" s="46" t="str">
        <f aca="false">IF(B451="","",IF(H451&lt;&gt;"Yes","No",IF(C451=SUMPRODUCT(MAX(($B$2:$B$501=B451)*($H$2:$H$501="Yes")*$C$2:$C$501)),"Yes","No")))</f>
        <v/>
      </c>
      <c r="N451" s="46" t="str">
        <f aca="false">IF(B451="","",IF(H451&lt;&gt;"Yes","Not frozen",IF(AND(J451="Yes",K451="Yes",L451="Yes"),"Complete","Incomplete")))</f>
        <v/>
      </c>
      <c r="O451" s="46" t="str">
        <f aca="false">IF(B451="","",IF(OR(F451="Simbli",F451="Shared folder"),"Yes","No"))</f>
        <v/>
      </c>
      <c r="P451" s="46"/>
    </row>
    <row r="452" customFormat="false" ht="15" hidden="false" customHeight="false" outlineLevel="0" collapsed="false">
      <c r="A452" s="46" t="s">
        <v>2778</v>
      </c>
      <c r="B452" s="46"/>
      <c r="C452" s="49" t="n">
        <f aca="false">IF(OR(B452="",D452=""),0,COUNTIFS($B$2:$B$501,B452,$D$2:$D$501,"&lt;"&amp;D452)+COUNTIFS($B$2:$B$501,B452,$D$2:$D$501,D452,$A$2:$A$501,"&lt;"&amp;A452)+1)</f>
        <v>0</v>
      </c>
      <c r="D452" s="46"/>
      <c r="E452" s="46"/>
      <c r="F452" s="46"/>
      <c r="G452" s="46"/>
      <c r="H452" s="46"/>
      <c r="I452" s="46"/>
      <c r="J452" s="46"/>
      <c r="K452" s="46"/>
      <c r="L452" s="46"/>
      <c r="M452" s="46" t="str">
        <f aca="false">IF(B452="","",IF(H452&lt;&gt;"Yes","No",IF(C452=SUMPRODUCT(MAX(($B$2:$B$501=B452)*($H$2:$H$501="Yes")*$C$2:$C$501)),"Yes","No")))</f>
        <v/>
      </c>
      <c r="N452" s="46" t="str">
        <f aca="false">IF(B452="","",IF(H452&lt;&gt;"Yes","Not frozen",IF(AND(J452="Yes",K452="Yes",L452="Yes"),"Complete","Incomplete")))</f>
        <v/>
      </c>
      <c r="O452" s="46" t="str">
        <f aca="false">IF(B452="","",IF(OR(F452="Simbli",F452="Shared folder"),"Yes","No"))</f>
        <v/>
      </c>
      <c r="P452" s="46"/>
    </row>
    <row r="453" customFormat="false" ht="15" hidden="false" customHeight="false" outlineLevel="0" collapsed="false">
      <c r="A453" s="46" t="s">
        <v>2779</v>
      </c>
      <c r="B453" s="46"/>
      <c r="C453" s="49" t="n">
        <f aca="false">IF(OR(B453="",D453=""),0,COUNTIFS($B$2:$B$501,B453,$D$2:$D$501,"&lt;"&amp;D453)+COUNTIFS($B$2:$B$501,B453,$D$2:$D$501,D453,$A$2:$A$501,"&lt;"&amp;A453)+1)</f>
        <v>0</v>
      </c>
      <c r="D453" s="46"/>
      <c r="E453" s="46"/>
      <c r="F453" s="46"/>
      <c r="G453" s="46"/>
      <c r="H453" s="46"/>
      <c r="I453" s="46"/>
      <c r="J453" s="46"/>
      <c r="K453" s="46"/>
      <c r="L453" s="46"/>
      <c r="M453" s="46" t="str">
        <f aca="false">IF(B453="","",IF(H453&lt;&gt;"Yes","No",IF(C453=SUMPRODUCT(MAX(($B$2:$B$501=B453)*($H$2:$H$501="Yes")*$C$2:$C$501)),"Yes","No")))</f>
        <v/>
      </c>
      <c r="N453" s="46" t="str">
        <f aca="false">IF(B453="","",IF(H453&lt;&gt;"Yes","Not frozen",IF(AND(J453="Yes",K453="Yes",L453="Yes"),"Complete","Incomplete")))</f>
        <v/>
      </c>
      <c r="O453" s="46" t="str">
        <f aca="false">IF(B453="","",IF(OR(F453="Simbli",F453="Shared folder"),"Yes","No"))</f>
        <v/>
      </c>
      <c r="P453" s="46"/>
    </row>
    <row r="454" customFormat="false" ht="15" hidden="false" customHeight="false" outlineLevel="0" collapsed="false">
      <c r="A454" s="46" t="s">
        <v>2780</v>
      </c>
      <c r="B454" s="46"/>
      <c r="C454" s="49" t="n">
        <f aca="false">IF(OR(B454="",D454=""),0,COUNTIFS($B$2:$B$501,B454,$D$2:$D$501,"&lt;"&amp;D454)+COUNTIFS($B$2:$B$501,B454,$D$2:$D$501,D454,$A$2:$A$501,"&lt;"&amp;A454)+1)</f>
        <v>0</v>
      </c>
      <c r="D454" s="46"/>
      <c r="E454" s="46"/>
      <c r="F454" s="46"/>
      <c r="G454" s="46"/>
      <c r="H454" s="46"/>
      <c r="I454" s="46"/>
      <c r="J454" s="46"/>
      <c r="K454" s="46"/>
      <c r="L454" s="46"/>
      <c r="M454" s="46" t="str">
        <f aca="false">IF(B454="","",IF(H454&lt;&gt;"Yes","No",IF(C454=SUMPRODUCT(MAX(($B$2:$B$501=B454)*($H$2:$H$501="Yes")*$C$2:$C$501)),"Yes","No")))</f>
        <v/>
      </c>
      <c r="N454" s="46" t="str">
        <f aca="false">IF(B454="","",IF(H454&lt;&gt;"Yes","Not frozen",IF(AND(J454="Yes",K454="Yes",L454="Yes"),"Complete","Incomplete")))</f>
        <v/>
      </c>
      <c r="O454" s="46" t="str">
        <f aca="false">IF(B454="","",IF(OR(F454="Simbli",F454="Shared folder"),"Yes","No"))</f>
        <v/>
      </c>
      <c r="P454" s="46"/>
    </row>
    <row r="455" customFormat="false" ht="15" hidden="false" customHeight="false" outlineLevel="0" collapsed="false">
      <c r="A455" s="46" t="s">
        <v>2781</v>
      </c>
      <c r="B455" s="46"/>
      <c r="C455" s="49" t="n">
        <f aca="false">IF(OR(B455="",D455=""),0,COUNTIFS($B$2:$B$501,B455,$D$2:$D$501,"&lt;"&amp;D455)+COUNTIFS($B$2:$B$501,B455,$D$2:$D$501,D455,$A$2:$A$501,"&lt;"&amp;A455)+1)</f>
        <v>0</v>
      </c>
      <c r="D455" s="46"/>
      <c r="E455" s="46"/>
      <c r="F455" s="46"/>
      <c r="G455" s="46"/>
      <c r="H455" s="46"/>
      <c r="I455" s="46"/>
      <c r="J455" s="46"/>
      <c r="K455" s="46"/>
      <c r="L455" s="46"/>
      <c r="M455" s="46" t="str">
        <f aca="false">IF(B455="","",IF(H455&lt;&gt;"Yes","No",IF(C455=SUMPRODUCT(MAX(($B$2:$B$501=B455)*($H$2:$H$501="Yes")*$C$2:$C$501)),"Yes","No")))</f>
        <v/>
      </c>
      <c r="N455" s="46" t="str">
        <f aca="false">IF(B455="","",IF(H455&lt;&gt;"Yes","Not frozen",IF(AND(J455="Yes",K455="Yes",L455="Yes"),"Complete","Incomplete")))</f>
        <v/>
      </c>
      <c r="O455" s="46" t="str">
        <f aca="false">IF(B455="","",IF(OR(F455="Simbli",F455="Shared folder"),"Yes","No"))</f>
        <v/>
      </c>
      <c r="P455" s="46"/>
    </row>
    <row r="456" customFormat="false" ht="15" hidden="false" customHeight="false" outlineLevel="0" collapsed="false">
      <c r="A456" s="46" t="s">
        <v>2782</v>
      </c>
      <c r="B456" s="46"/>
      <c r="C456" s="49" t="n">
        <f aca="false">IF(OR(B456="",D456=""),0,COUNTIFS($B$2:$B$501,B456,$D$2:$D$501,"&lt;"&amp;D456)+COUNTIFS($B$2:$B$501,B456,$D$2:$D$501,D456,$A$2:$A$501,"&lt;"&amp;A456)+1)</f>
        <v>0</v>
      </c>
      <c r="D456" s="46"/>
      <c r="E456" s="46"/>
      <c r="F456" s="46"/>
      <c r="G456" s="46"/>
      <c r="H456" s="46"/>
      <c r="I456" s="46"/>
      <c r="J456" s="46"/>
      <c r="K456" s="46"/>
      <c r="L456" s="46"/>
      <c r="M456" s="46" t="str">
        <f aca="false">IF(B456="","",IF(H456&lt;&gt;"Yes","No",IF(C456=SUMPRODUCT(MAX(($B$2:$B$501=B456)*($H$2:$H$501="Yes")*$C$2:$C$501)),"Yes","No")))</f>
        <v/>
      </c>
      <c r="N456" s="46" t="str">
        <f aca="false">IF(B456="","",IF(H456&lt;&gt;"Yes","Not frozen",IF(AND(J456="Yes",K456="Yes",L456="Yes"),"Complete","Incomplete")))</f>
        <v/>
      </c>
      <c r="O456" s="46" t="str">
        <f aca="false">IF(B456="","",IF(OR(F456="Simbli",F456="Shared folder"),"Yes","No"))</f>
        <v/>
      </c>
      <c r="P456" s="46"/>
    </row>
    <row r="457" customFormat="false" ht="15" hidden="false" customHeight="false" outlineLevel="0" collapsed="false">
      <c r="A457" s="46" t="s">
        <v>2783</v>
      </c>
      <c r="B457" s="46"/>
      <c r="C457" s="49" t="n">
        <f aca="false">IF(OR(B457="",D457=""),0,COUNTIFS($B$2:$B$501,B457,$D$2:$D$501,"&lt;"&amp;D457)+COUNTIFS($B$2:$B$501,B457,$D$2:$D$501,D457,$A$2:$A$501,"&lt;"&amp;A457)+1)</f>
        <v>0</v>
      </c>
      <c r="D457" s="46"/>
      <c r="E457" s="46"/>
      <c r="F457" s="46"/>
      <c r="G457" s="46"/>
      <c r="H457" s="46"/>
      <c r="I457" s="46"/>
      <c r="J457" s="46"/>
      <c r="K457" s="46"/>
      <c r="L457" s="46"/>
      <c r="M457" s="46" t="str">
        <f aca="false">IF(B457="","",IF(H457&lt;&gt;"Yes","No",IF(C457=SUMPRODUCT(MAX(($B$2:$B$501=B457)*($H$2:$H$501="Yes")*$C$2:$C$501)),"Yes","No")))</f>
        <v/>
      </c>
      <c r="N457" s="46" t="str">
        <f aca="false">IF(B457="","",IF(H457&lt;&gt;"Yes","Not frozen",IF(AND(J457="Yes",K457="Yes",L457="Yes"),"Complete","Incomplete")))</f>
        <v/>
      </c>
      <c r="O457" s="46" t="str">
        <f aca="false">IF(B457="","",IF(OR(F457="Simbli",F457="Shared folder"),"Yes","No"))</f>
        <v/>
      </c>
      <c r="P457" s="46"/>
    </row>
    <row r="458" customFormat="false" ht="15" hidden="false" customHeight="false" outlineLevel="0" collapsed="false">
      <c r="A458" s="46" t="s">
        <v>2784</v>
      </c>
      <c r="B458" s="46"/>
      <c r="C458" s="49" t="n">
        <f aca="false">IF(OR(B458="",D458=""),0,COUNTIFS($B$2:$B$501,B458,$D$2:$D$501,"&lt;"&amp;D458)+COUNTIFS($B$2:$B$501,B458,$D$2:$D$501,D458,$A$2:$A$501,"&lt;"&amp;A458)+1)</f>
        <v>0</v>
      </c>
      <c r="D458" s="46"/>
      <c r="E458" s="46"/>
      <c r="F458" s="46"/>
      <c r="G458" s="46"/>
      <c r="H458" s="46"/>
      <c r="I458" s="46"/>
      <c r="J458" s="46"/>
      <c r="K458" s="46"/>
      <c r="L458" s="46"/>
      <c r="M458" s="46" t="str">
        <f aca="false">IF(B458="","",IF(H458&lt;&gt;"Yes","No",IF(C458=SUMPRODUCT(MAX(($B$2:$B$501=B458)*($H$2:$H$501="Yes")*$C$2:$C$501)),"Yes","No")))</f>
        <v/>
      </c>
      <c r="N458" s="46" t="str">
        <f aca="false">IF(B458="","",IF(H458&lt;&gt;"Yes","Not frozen",IF(AND(J458="Yes",K458="Yes",L458="Yes"),"Complete","Incomplete")))</f>
        <v/>
      </c>
      <c r="O458" s="46" t="str">
        <f aca="false">IF(B458="","",IF(OR(F458="Simbli",F458="Shared folder"),"Yes","No"))</f>
        <v/>
      </c>
      <c r="P458" s="46"/>
    </row>
    <row r="459" customFormat="false" ht="15" hidden="false" customHeight="false" outlineLevel="0" collapsed="false">
      <c r="A459" s="46" t="s">
        <v>2785</v>
      </c>
      <c r="B459" s="46"/>
      <c r="C459" s="49" t="n">
        <f aca="false">IF(OR(B459="",D459=""),0,COUNTIFS($B$2:$B$501,B459,$D$2:$D$501,"&lt;"&amp;D459)+COUNTIFS($B$2:$B$501,B459,$D$2:$D$501,D459,$A$2:$A$501,"&lt;"&amp;A459)+1)</f>
        <v>0</v>
      </c>
      <c r="D459" s="46"/>
      <c r="E459" s="46"/>
      <c r="F459" s="46"/>
      <c r="G459" s="46"/>
      <c r="H459" s="46"/>
      <c r="I459" s="46"/>
      <c r="J459" s="46"/>
      <c r="K459" s="46"/>
      <c r="L459" s="46"/>
      <c r="M459" s="46" t="str">
        <f aca="false">IF(B459="","",IF(H459&lt;&gt;"Yes","No",IF(C459=SUMPRODUCT(MAX(($B$2:$B$501=B459)*($H$2:$H$501="Yes")*$C$2:$C$501)),"Yes","No")))</f>
        <v/>
      </c>
      <c r="N459" s="46" t="str">
        <f aca="false">IF(B459="","",IF(H459&lt;&gt;"Yes","Not frozen",IF(AND(J459="Yes",K459="Yes",L459="Yes"),"Complete","Incomplete")))</f>
        <v/>
      </c>
      <c r="O459" s="46" t="str">
        <f aca="false">IF(B459="","",IF(OR(F459="Simbli",F459="Shared folder"),"Yes","No"))</f>
        <v/>
      </c>
      <c r="P459" s="46"/>
    </row>
    <row r="460" customFormat="false" ht="15" hidden="false" customHeight="false" outlineLevel="0" collapsed="false">
      <c r="A460" s="46" t="s">
        <v>2786</v>
      </c>
      <c r="B460" s="46"/>
      <c r="C460" s="49" t="n">
        <f aca="false">IF(OR(B460="",D460=""),0,COUNTIFS($B$2:$B$501,B460,$D$2:$D$501,"&lt;"&amp;D460)+COUNTIFS($B$2:$B$501,B460,$D$2:$D$501,D460,$A$2:$A$501,"&lt;"&amp;A460)+1)</f>
        <v>0</v>
      </c>
      <c r="D460" s="46"/>
      <c r="E460" s="46"/>
      <c r="F460" s="46"/>
      <c r="G460" s="46"/>
      <c r="H460" s="46"/>
      <c r="I460" s="46"/>
      <c r="J460" s="46"/>
      <c r="K460" s="46"/>
      <c r="L460" s="46"/>
      <c r="M460" s="46" t="str">
        <f aca="false">IF(B460="","",IF(H460&lt;&gt;"Yes","No",IF(C460=SUMPRODUCT(MAX(($B$2:$B$501=B460)*($H$2:$H$501="Yes")*$C$2:$C$501)),"Yes","No")))</f>
        <v/>
      </c>
      <c r="N460" s="46" t="str">
        <f aca="false">IF(B460="","",IF(H460&lt;&gt;"Yes","Not frozen",IF(AND(J460="Yes",K460="Yes",L460="Yes"),"Complete","Incomplete")))</f>
        <v/>
      </c>
      <c r="O460" s="46" t="str">
        <f aca="false">IF(B460="","",IF(OR(F460="Simbli",F460="Shared folder"),"Yes","No"))</f>
        <v/>
      </c>
      <c r="P460" s="46"/>
    </row>
    <row r="461" customFormat="false" ht="15" hidden="false" customHeight="false" outlineLevel="0" collapsed="false">
      <c r="A461" s="46" t="s">
        <v>2787</v>
      </c>
      <c r="B461" s="46"/>
      <c r="C461" s="49" t="n">
        <f aca="false">IF(OR(B461="",D461=""),0,COUNTIFS($B$2:$B$501,B461,$D$2:$D$501,"&lt;"&amp;D461)+COUNTIFS($B$2:$B$501,B461,$D$2:$D$501,D461,$A$2:$A$501,"&lt;"&amp;A461)+1)</f>
        <v>0</v>
      </c>
      <c r="D461" s="46"/>
      <c r="E461" s="46"/>
      <c r="F461" s="46"/>
      <c r="G461" s="46"/>
      <c r="H461" s="46"/>
      <c r="I461" s="46"/>
      <c r="J461" s="46"/>
      <c r="K461" s="46"/>
      <c r="L461" s="46"/>
      <c r="M461" s="46" t="str">
        <f aca="false">IF(B461="","",IF(H461&lt;&gt;"Yes","No",IF(C461=SUMPRODUCT(MAX(($B$2:$B$501=B461)*($H$2:$H$501="Yes")*$C$2:$C$501)),"Yes","No")))</f>
        <v/>
      </c>
      <c r="N461" s="46" t="str">
        <f aca="false">IF(B461="","",IF(H461&lt;&gt;"Yes","Not frozen",IF(AND(J461="Yes",K461="Yes",L461="Yes"),"Complete","Incomplete")))</f>
        <v/>
      </c>
      <c r="O461" s="46" t="str">
        <f aca="false">IF(B461="","",IF(OR(F461="Simbli",F461="Shared folder"),"Yes","No"))</f>
        <v/>
      </c>
      <c r="P461" s="46"/>
    </row>
    <row r="462" customFormat="false" ht="15" hidden="false" customHeight="false" outlineLevel="0" collapsed="false">
      <c r="A462" s="46" t="s">
        <v>2788</v>
      </c>
      <c r="B462" s="46"/>
      <c r="C462" s="49" t="n">
        <f aca="false">IF(OR(B462="",D462=""),0,COUNTIFS($B$2:$B$501,B462,$D$2:$D$501,"&lt;"&amp;D462)+COUNTIFS($B$2:$B$501,B462,$D$2:$D$501,D462,$A$2:$A$501,"&lt;"&amp;A462)+1)</f>
        <v>0</v>
      </c>
      <c r="D462" s="46"/>
      <c r="E462" s="46"/>
      <c r="F462" s="46"/>
      <c r="G462" s="46"/>
      <c r="H462" s="46"/>
      <c r="I462" s="46"/>
      <c r="J462" s="46"/>
      <c r="K462" s="46"/>
      <c r="L462" s="46"/>
      <c r="M462" s="46" t="str">
        <f aca="false">IF(B462="","",IF(H462&lt;&gt;"Yes","No",IF(C462=SUMPRODUCT(MAX(($B$2:$B$501=B462)*($H$2:$H$501="Yes")*$C$2:$C$501)),"Yes","No")))</f>
        <v/>
      </c>
      <c r="N462" s="46" t="str">
        <f aca="false">IF(B462="","",IF(H462&lt;&gt;"Yes","Not frozen",IF(AND(J462="Yes",K462="Yes",L462="Yes"),"Complete","Incomplete")))</f>
        <v/>
      </c>
      <c r="O462" s="46" t="str">
        <f aca="false">IF(B462="","",IF(OR(F462="Simbli",F462="Shared folder"),"Yes","No"))</f>
        <v/>
      </c>
      <c r="P462" s="46"/>
    </row>
    <row r="463" customFormat="false" ht="15" hidden="false" customHeight="false" outlineLevel="0" collapsed="false">
      <c r="A463" s="46" t="s">
        <v>2789</v>
      </c>
      <c r="B463" s="46"/>
      <c r="C463" s="49" t="n">
        <f aca="false">IF(OR(B463="",D463=""),0,COUNTIFS($B$2:$B$501,B463,$D$2:$D$501,"&lt;"&amp;D463)+COUNTIFS($B$2:$B$501,B463,$D$2:$D$501,D463,$A$2:$A$501,"&lt;"&amp;A463)+1)</f>
        <v>0</v>
      </c>
      <c r="D463" s="46"/>
      <c r="E463" s="46"/>
      <c r="F463" s="46"/>
      <c r="G463" s="46"/>
      <c r="H463" s="46"/>
      <c r="I463" s="46"/>
      <c r="J463" s="46"/>
      <c r="K463" s="46"/>
      <c r="L463" s="46"/>
      <c r="M463" s="46" t="str">
        <f aca="false">IF(B463="","",IF(H463&lt;&gt;"Yes","No",IF(C463=SUMPRODUCT(MAX(($B$2:$B$501=B463)*($H$2:$H$501="Yes")*$C$2:$C$501)),"Yes","No")))</f>
        <v/>
      </c>
      <c r="N463" s="46" t="str">
        <f aca="false">IF(B463="","",IF(H463&lt;&gt;"Yes","Not frozen",IF(AND(J463="Yes",K463="Yes",L463="Yes"),"Complete","Incomplete")))</f>
        <v/>
      </c>
      <c r="O463" s="46" t="str">
        <f aca="false">IF(B463="","",IF(OR(F463="Simbli",F463="Shared folder"),"Yes","No"))</f>
        <v/>
      </c>
      <c r="P463" s="46"/>
    </row>
    <row r="464" customFormat="false" ht="15" hidden="false" customHeight="false" outlineLevel="0" collapsed="false">
      <c r="A464" s="46" t="s">
        <v>2790</v>
      </c>
      <c r="B464" s="46"/>
      <c r="C464" s="49" t="n">
        <f aca="false">IF(OR(B464="",D464=""),0,COUNTIFS($B$2:$B$501,B464,$D$2:$D$501,"&lt;"&amp;D464)+COUNTIFS($B$2:$B$501,B464,$D$2:$D$501,D464,$A$2:$A$501,"&lt;"&amp;A464)+1)</f>
        <v>0</v>
      </c>
      <c r="D464" s="46"/>
      <c r="E464" s="46"/>
      <c r="F464" s="46"/>
      <c r="G464" s="46"/>
      <c r="H464" s="46"/>
      <c r="I464" s="46"/>
      <c r="J464" s="46"/>
      <c r="K464" s="46"/>
      <c r="L464" s="46"/>
      <c r="M464" s="46" t="str">
        <f aca="false">IF(B464="","",IF(H464&lt;&gt;"Yes","No",IF(C464=SUMPRODUCT(MAX(($B$2:$B$501=B464)*($H$2:$H$501="Yes")*$C$2:$C$501)),"Yes","No")))</f>
        <v/>
      </c>
      <c r="N464" s="46" t="str">
        <f aca="false">IF(B464="","",IF(H464&lt;&gt;"Yes","Not frozen",IF(AND(J464="Yes",K464="Yes",L464="Yes"),"Complete","Incomplete")))</f>
        <v/>
      </c>
      <c r="O464" s="46" t="str">
        <f aca="false">IF(B464="","",IF(OR(F464="Simbli",F464="Shared folder"),"Yes","No"))</f>
        <v/>
      </c>
      <c r="P464" s="46"/>
    </row>
    <row r="465" customFormat="false" ht="15" hidden="false" customHeight="false" outlineLevel="0" collapsed="false">
      <c r="A465" s="46" t="s">
        <v>2791</v>
      </c>
      <c r="B465" s="46"/>
      <c r="C465" s="49" t="n">
        <f aca="false">IF(OR(B465="",D465=""),0,COUNTIFS($B$2:$B$501,B465,$D$2:$D$501,"&lt;"&amp;D465)+COUNTIFS($B$2:$B$501,B465,$D$2:$D$501,D465,$A$2:$A$501,"&lt;"&amp;A465)+1)</f>
        <v>0</v>
      </c>
      <c r="D465" s="46"/>
      <c r="E465" s="46"/>
      <c r="F465" s="46"/>
      <c r="G465" s="46"/>
      <c r="H465" s="46"/>
      <c r="I465" s="46"/>
      <c r="J465" s="46"/>
      <c r="K465" s="46"/>
      <c r="L465" s="46"/>
      <c r="M465" s="46" t="str">
        <f aca="false">IF(B465="","",IF(H465&lt;&gt;"Yes","No",IF(C465=SUMPRODUCT(MAX(($B$2:$B$501=B465)*($H$2:$H$501="Yes")*$C$2:$C$501)),"Yes","No")))</f>
        <v/>
      </c>
      <c r="N465" s="46" t="str">
        <f aca="false">IF(B465="","",IF(H465&lt;&gt;"Yes","Not frozen",IF(AND(J465="Yes",K465="Yes",L465="Yes"),"Complete","Incomplete")))</f>
        <v/>
      </c>
      <c r="O465" s="46" t="str">
        <f aca="false">IF(B465="","",IF(OR(F465="Simbli",F465="Shared folder"),"Yes","No"))</f>
        <v/>
      </c>
      <c r="P465" s="46"/>
    </row>
    <row r="466" customFormat="false" ht="15" hidden="false" customHeight="false" outlineLevel="0" collapsed="false">
      <c r="A466" s="46" t="s">
        <v>2792</v>
      </c>
      <c r="B466" s="46"/>
      <c r="C466" s="49" t="n">
        <f aca="false">IF(OR(B466="",D466=""),0,COUNTIFS($B$2:$B$501,B466,$D$2:$D$501,"&lt;"&amp;D466)+COUNTIFS($B$2:$B$501,B466,$D$2:$D$501,D466,$A$2:$A$501,"&lt;"&amp;A466)+1)</f>
        <v>0</v>
      </c>
      <c r="D466" s="46"/>
      <c r="E466" s="46"/>
      <c r="F466" s="46"/>
      <c r="G466" s="46"/>
      <c r="H466" s="46"/>
      <c r="I466" s="46"/>
      <c r="J466" s="46"/>
      <c r="K466" s="46"/>
      <c r="L466" s="46"/>
      <c r="M466" s="46" t="str">
        <f aca="false">IF(B466="","",IF(H466&lt;&gt;"Yes","No",IF(C466=SUMPRODUCT(MAX(($B$2:$B$501=B466)*($H$2:$H$501="Yes")*$C$2:$C$501)),"Yes","No")))</f>
        <v/>
      </c>
      <c r="N466" s="46" t="str">
        <f aca="false">IF(B466="","",IF(H466&lt;&gt;"Yes","Not frozen",IF(AND(J466="Yes",K466="Yes",L466="Yes"),"Complete","Incomplete")))</f>
        <v/>
      </c>
      <c r="O466" s="46" t="str">
        <f aca="false">IF(B466="","",IF(OR(F466="Simbli",F466="Shared folder"),"Yes","No"))</f>
        <v/>
      </c>
      <c r="P466" s="46"/>
    </row>
    <row r="467" customFormat="false" ht="15" hidden="false" customHeight="false" outlineLevel="0" collapsed="false">
      <c r="A467" s="46" t="s">
        <v>2793</v>
      </c>
      <c r="B467" s="46"/>
      <c r="C467" s="49" t="n">
        <f aca="false">IF(OR(B467="",D467=""),0,COUNTIFS($B$2:$B$501,B467,$D$2:$D$501,"&lt;"&amp;D467)+COUNTIFS($B$2:$B$501,B467,$D$2:$D$501,D467,$A$2:$A$501,"&lt;"&amp;A467)+1)</f>
        <v>0</v>
      </c>
      <c r="D467" s="46"/>
      <c r="E467" s="46"/>
      <c r="F467" s="46"/>
      <c r="G467" s="46"/>
      <c r="H467" s="46"/>
      <c r="I467" s="46"/>
      <c r="J467" s="46"/>
      <c r="K467" s="46"/>
      <c r="L467" s="46"/>
      <c r="M467" s="46" t="str">
        <f aca="false">IF(B467="","",IF(H467&lt;&gt;"Yes","No",IF(C467=SUMPRODUCT(MAX(($B$2:$B$501=B467)*($H$2:$H$501="Yes")*$C$2:$C$501)),"Yes","No")))</f>
        <v/>
      </c>
      <c r="N467" s="46" t="str">
        <f aca="false">IF(B467="","",IF(H467&lt;&gt;"Yes","Not frozen",IF(AND(J467="Yes",K467="Yes",L467="Yes"),"Complete","Incomplete")))</f>
        <v/>
      </c>
      <c r="O467" s="46" t="str">
        <f aca="false">IF(B467="","",IF(OR(F467="Simbli",F467="Shared folder"),"Yes","No"))</f>
        <v/>
      </c>
      <c r="P467" s="46"/>
    </row>
    <row r="468" customFormat="false" ht="15" hidden="false" customHeight="false" outlineLevel="0" collapsed="false">
      <c r="A468" s="46" t="s">
        <v>2794</v>
      </c>
      <c r="B468" s="46"/>
      <c r="C468" s="49" t="n">
        <f aca="false">IF(OR(B468="",D468=""),0,COUNTIFS($B$2:$B$501,B468,$D$2:$D$501,"&lt;"&amp;D468)+COUNTIFS($B$2:$B$501,B468,$D$2:$D$501,D468,$A$2:$A$501,"&lt;"&amp;A468)+1)</f>
        <v>0</v>
      </c>
      <c r="D468" s="46"/>
      <c r="E468" s="46"/>
      <c r="F468" s="46"/>
      <c r="G468" s="46"/>
      <c r="H468" s="46"/>
      <c r="I468" s="46"/>
      <c r="J468" s="46"/>
      <c r="K468" s="46"/>
      <c r="L468" s="46"/>
      <c r="M468" s="46" t="str">
        <f aca="false">IF(B468="","",IF(H468&lt;&gt;"Yes","No",IF(C468=SUMPRODUCT(MAX(($B$2:$B$501=B468)*($H$2:$H$501="Yes")*$C$2:$C$501)),"Yes","No")))</f>
        <v/>
      </c>
      <c r="N468" s="46" t="str">
        <f aca="false">IF(B468="","",IF(H468&lt;&gt;"Yes","Not frozen",IF(AND(J468="Yes",K468="Yes",L468="Yes"),"Complete","Incomplete")))</f>
        <v/>
      </c>
      <c r="O468" s="46" t="str">
        <f aca="false">IF(B468="","",IF(OR(F468="Simbli",F468="Shared folder"),"Yes","No"))</f>
        <v/>
      </c>
      <c r="P468" s="46"/>
    </row>
    <row r="469" customFormat="false" ht="15" hidden="false" customHeight="false" outlineLevel="0" collapsed="false">
      <c r="A469" s="46" t="s">
        <v>2795</v>
      </c>
      <c r="B469" s="46"/>
      <c r="C469" s="49" t="n">
        <f aca="false">IF(OR(B469="",D469=""),0,COUNTIFS($B$2:$B$501,B469,$D$2:$D$501,"&lt;"&amp;D469)+COUNTIFS($B$2:$B$501,B469,$D$2:$D$501,D469,$A$2:$A$501,"&lt;"&amp;A469)+1)</f>
        <v>0</v>
      </c>
      <c r="D469" s="46"/>
      <c r="E469" s="46"/>
      <c r="F469" s="46"/>
      <c r="G469" s="46"/>
      <c r="H469" s="46"/>
      <c r="I469" s="46"/>
      <c r="J469" s="46"/>
      <c r="K469" s="46"/>
      <c r="L469" s="46"/>
      <c r="M469" s="46" t="str">
        <f aca="false">IF(B469="","",IF(H469&lt;&gt;"Yes","No",IF(C469=SUMPRODUCT(MAX(($B$2:$B$501=B469)*($H$2:$H$501="Yes")*$C$2:$C$501)),"Yes","No")))</f>
        <v/>
      </c>
      <c r="N469" s="46" t="str">
        <f aca="false">IF(B469="","",IF(H469&lt;&gt;"Yes","Not frozen",IF(AND(J469="Yes",K469="Yes",L469="Yes"),"Complete","Incomplete")))</f>
        <v/>
      </c>
      <c r="O469" s="46" t="str">
        <f aca="false">IF(B469="","",IF(OR(F469="Simbli",F469="Shared folder"),"Yes","No"))</f>
        <v/>
      </c>
      <c r="P469" s="46"/>
    </row>
    <row r="470" customFormat="false" ht="15" hidden="false" customHeight="false" outlineLevel="0" collapsed="false">
      <c r="A470" s="46" t="s">
        <v>2796</v>
      </c>
      <c r="B470" s="46"/>
      <c r="C470" s="49" t="n">
        <f aca="false">IF(OR(B470="",D470=""),0,COUNTIFS($B$2:$B$501,B470,$D$2:$D$501,"&lt;"&amp;D470)+COUNTIFS($B$2:$B$501,B470,$D$2:$D$501,D470,$A$2:$A$501,"&lt;"&amp;A470)+1)</f>
        <v>0</v>
      </c>
      <c r="D470" s="46"/>
      <c r="E470" s="46"/>
      <c r="F470" s="46"/>
      <c r="G470" s="46"/>
      <c r="H470" s="46"/>
      <c r="I470" s="46"/>
      <c r="J470" s="46"/>
      <c r="K470" s="46"/>
      <c r="L470" s="46"/>
      <c r="M470" s="46" t="str">
        <f aca="false">IF(B470="","",IF(H470&lt;&gt;"Yes","No",IF(C470=SUMPRODUCT(MAX(($B$2:$B$501=B470)*($H$2:$H$501="Yes")*$C$2:$C$501)),"Yes","No")))</f>
        <v/>
      </c>
      <c r="N470" s="46" t="str">
        <f aca="false">IF(B470="","",IF(H470&lt;&gt;"Yes","Not frozen",IF(AND(J470="Yes",K470="Yes",L470="Yes"),"Complete","Incomplete")))</f>
        <v/>
      </c>
      <c r="O470" s="46" t="str">
        <f aca="false">IF(B470="","",IF(OR(F470="Simbli",F470="Shared folder"),"Yes","No"))</f>
        <v/>
      </c>
      <c r="P470" s="46"/>
    </row>
    <row r="471" customFormat="false" ht="15" hidden="false" customHeight="false" outlineLevel="0" collapsed="false">
      <c r="A471" s="46" t="s">
        <v>2797</v>
      </c>
      <c r="B471" s="46"/>
      <c r="C471" s="49" t="n">
        <f aca="false">IF(OR(B471="",D471=""),0,COUNTIFS($B$2:$B$501,B471,$D$2:$D$501,"&lt;"&amp;D471)+COUNTIFS($B$2:$B$501,B471,$D$2:$D$501,D471,$A$2:$A$501,"&lt;"&amp;A471)+1)</f>
        <v>0</v>
      </c>
      <c r="D471" s="46"/>
      <c r="E471" s="46"/>
      <c r="F471" s="46"/>
      <c r="G471" s="46"/>
      <c r="H471" s="46"/>
      <c r="I471" s="46"/>
      <c r="J471" s="46"/>
      <c r="K471" s="46"/>
      <c r="L471" s="46"/>
      <c r="M471" s="46" t="str">
        <f aca="false">IF(B471="","",IF(H471&lt;&gt;"Yes","No",IF(C471=SUMPRODUCT(MAX(($B$2:$B$501=B471)*($H$2:$H$501="Yes")*$C$2:$C$501)),"Yes","No")))</f>
        <v/>
      </c>
      <c r="N471" s="46" t="str">
        <f aca="false">IF(B471="","",IF(H471&lt;&gt;"Yes","Not frozen",IF(AND(J471="Yes",K471="Yes",L471="Yes"),"Complete","Incomplete")))</f>
        <v/>
      </c>
      <c r="O471" s="46" t="str">
        <f aca="false">IF(B471="","",IF(OR(F471="Simbli",F471="Shared folder"),"Yes","No"))</f>
        <v/>
      </c>
      <c r="P471" s="46"/>
    </row>
    <row r="472" customFormat="false" ht="15" hidden="false" customHeight="false" outlineLevel="0" collapsed="false">
      <c r="A472" s="46" t="s">
        <v>2798</v>
      </c>
      <c r="B472" s="46"/>
      <c r="C472" s="49" t="n">
        <f aca="false">IF(OR(B472="",D472=""),0,COUNTIFS($B$2:$B$501,B472,$D$2:$D$501,"&lt;"&amp;D472)+COUNTIFS($B$2:$B$501,B472,$D$2:$D$501,D472,$A$2:$A$501,"&lt;"&amp;A472)+1)</f>
        <v>0</v>
      </c>
      <c r="D472" s="46"/>
      <c r="E472" s="46"/>
      <c r="F472" s="46"/>
      <c r="G472" s="46"/>
      <c r="H472" s="46"/>
      <c r="I472" s="46"/>
      <c r="J472" s="46"/>
      <c r="K472" s="46"/>
      <c r="L472" s="46"/>
      <c r="M472" s="46" t="str">
        <f aca="false">IF(B472="","",IF(H472&lt;&gt;"Yes","No",IF(C472=SUMPRODUCT(MAX(($B$2:$B$501=B472)*($H$2:$H$501="Yes")*$C$2:$C$501)),"Yes","No")))</f>
        <v/>
      </c>
      <c r="N472" s="46" t="str">
        <f aca="false">IF(B472="","",IF(H472&lt;&gt;"Yes","Not frozen",IF(AND(J472="Yes",K472="Yes",L472="Yes"),"Complete","Incomplete")))</f>
        <v/>
      </c>
      <c r="O472" s="46" t="str">
        <f aca="false">IF(B472="","",IF(OR(F472="Simbli",F472="Shared folder"),"Yes","No"))</f>
        <v/>
      </c>
      <c r="P472" s="46"/>
    </row>
    <row r="473" customFormat="false" ht="15" hidden="false" customHeight="false" outlineLevel="0" collapsed="false">
      <c r="A473" s="46" t="s">
        <v>2799</v>
      </c>
      <c r="B473" s="46"/>
      <c r="C473" s="49" t="n">
        <f aca="false">IF(OR(B473="",D473=""),0,COUNTIFS($B$2:$B$501,B473,$D$2:$D$501,"&lt;"&amp;D473)+COUNTIFS($B$2:$B$501,B473,$D$2:$D$501,D473,$A$2:$A$501,"&lt;"&amp;A473)+1)</f>
        <v>0</v>
      </c>
      <c r="D473" s="46"/>
      <c r="E473" s="46"/>
      <c r="F473" s="46"/>
      <c r="G473" s="46"/>
      <c r="H473" s="46"/>
      <c r="I473" s="46"/>
      <c r="J473" s="46"/>
      <c r="K473" s="46"/>
      <c r="L473" s="46"/>
      <c r="M473" s="46" t="str">
        <f aca="false">IF(B473="","",IF(H473&lt;&gt;"Yes","No",IF(C473=SUMPRODUCT(MAX(($B$2:$B$501=B473)*($H$2:$H$501="Yes")*$C$2:$C$501)),"Yes","No")))</f>
        <v/>
      </c>
      <c r="N473" s="46" t="str">
        <f aca="false">IF(B473="","",IF(H473&lt;&gt;"Yes","Not frozen",IF(AND(J473="Yes",K473="Yes",L473="Yes"),"Complete","Incomplete")))</f>
        <v/>
      </c>
      <c r="O473" s="46" t="str">
        <f aca="false">IF(B473="","",IF(OR(F473="Simbli",F473="Shared folder"),"Yes","No"))</f>
        <v/>
      </c>
      <c r="P473" s="46"/>
    </row>
    <row r="474" customFormat="false" ht="15" hidden="false" customHeight="false" outlineLevel="0" collapsed="false">
      <c r="A474" s="46" t="s">
        <v>2800</v>
      </c>
      <c r="B474" s="46"/>
      <c r="C474" s="49" t="n">
        <f aca="false">IF(OR(B474="",D474=""),0,COUNTIFS($B$2:$B$501,B474,$D$2:$D$501,"&lt;"&amp;D474)+COUNTIFS($B$2:$B$501,B474,$D$2:$D$501,D474,$A$2:$A$501,"&lt;"&amp;A474)+1)</f>
        <v>0</v>
      </c>
      <c r="D474" s="46"/>
      <c r="E474" s="46"/>
      <c r="F474" s="46"/>
      <c r="G474" s="46"/>
      <c r="H474" s="46"/>
      <c r="I474" s="46"/>
      <c r="J474" s="46"/>
      <c r="K474" s="46"/>
      <c r="L474" s="46"/>
      <c r="M474" s="46" t="str">
        <f aca="false">IF(B474="","",IF(H474&lt;&gt;"Yes","No",IF(C474=SUMPRODUCT(MAX(($B$2:$B$501=B474)*($H$2:$H$501="Yes")*$C$2:$C$501)),"Yes","No")))</f>
        <v/>
      </c>
      <c r="N474" s="46" t="str">
        <f aca="false">IF(B474="","",IF(H474&lt;&gt;"Yes","Not frozen",IF(AND(J474="Yes",K474="Yes",L474="Yes"),"Complete","Incomplete")))</f>
        <v/>
      </c>
      <c r="O474" s="46" t="str">
        <f aca="false">IF(B474="","",IF(OR(F474="Simbli",F474="Shared folder"),"Yes","No"))</f>
        <v/>
      </c>
      <c r="P474" s="46"/>
    </row>
    <row r="475" customFormat="false" ht="15" hidden="false" customHeight="false" outlineLevel="0" collapsed="false">
      <c r="A475" s="46" t="s">
        <v>2801</v>
      </c>
      <c r="B475" s="46"/>
      <c r="C475" s="49" t="n">
        <f aca="false">IF(OR(B475="",D475=""),0,COUNTIFS($B$2:$B$501,B475,$D$2:$D$501,"&lt;"&amp;D475)+COUNTIFS($B$2:$B$501,B475,$D$2:$D$501,D475,$A$2:$A$501,"&lt;"&amp;A475)+1)</f>
        <v>0</v>
      </c>
      <c r="D475" s="46"/>
      <c r="E475" s="46"/>
      <c r="F475" s="46"/>
      <c r="G475" s="46"/>
      <c r="H475" s="46"/>
      <c r="I475" s="46"/>
      <c r="J475" s="46"/>
      <c r="K475" s="46"/>
      <c r="L475" s="46"/>
      <c r="M475" s="46" t="str">
        <f aca="false">IF(B475="","",IF(H475&lt;&gt;"Yes","No",IF(C475=SUMPRODUCT(MAX(($B$2:$B$501=B475)*($H$2:$H$501="Yes")*$C$2:$C$501)),"Yes","No")))</f>
        <v/>
      </c>
      <c r="N475" s="46" t="str">
        <f aca="false">IF(B475="","",IF(H475&lt;&gt;"Yes","Not frozen",IF(AND(J475="Yes",K475="Yes",L475="Yes"),"Complete","Incomplete")))</f>
        <v/>
      </c>
      <c r="O475" s="46" t="str">
        <f aca="false">IF(B475="","",IF(OR(F475="Simbli",F475="Shared folder"),"Yes","No"))</f>
        <v/>
      </c>
      <c r="P475" s="46"/>
    </row>
    <row r="476" customFormat="false" ht="15" hidden="false" customHeight="false" outlineLevel="0" collapsed="false">
      <c r="A476" s="46" t="s">
        <v>2802</v>
      </c>
      <c r="B476" s="46"/>
      <c r="C476" s="49" t="n">
        <f aca="false">IF(OR(B476="",D476=""),0,COUNTIFS($B$2:$B$501,B476,$D$2:$D$501,"&lt;"&amp;D476)+COUNTIFS($B$2:$B$501,B476,$D$2:$D$501,D476,$A$2:$A$501,"&lt;"&amp;A476)+1)</f>
        <v>0</v>
      </c>
      <c r="D476" s="46"/>
      <c r="E476" s="46"/>
      <c r="F476" s="46"/>
      <c r="G476" s="46"/>
      <c r="H476" s="46"/>
      <c r="I476" s="46"/>
      <c r="J476" s="46"/>
      <c r="K476" s="46"/>
      <c r="L476" s="46"/>
      <c r="M476" s="46" t="str">
        <f aca="false">IF(B476="","",IF(H476&lt;&gt;"Yes","No",IF(C476=SUMPRODUCT(MAX(($B$2:$B$501=B476)*($H$2:$H$501="Yes")*$C$2:$C$501)),"Yes","No")))</f>
        <v/>
      </c>
      <c r="N476" s="46" t="str">
        <f aca="false">IF(B476="","",IF(H476&lt;&gt;"Yes","Not frozen",IF(AND(J476="Yes",K476="Yes",L476="Yes"),"Complete","Incomplete")))</f>
        <v/>
      </c>
      <c r="O476" s="46" t="str">
        <f aca="false">IF(B476="","",IF(OR(F476="Simbli",F476="Shared folder"),"Yes","No"))</f>
        <v/>
      </c>
      <c r="P476" s="46"/>
    </row>
    <row r="477" customFormat="false" ht="15" hidden="false" customHeight="false" outlineLevel="0" collapsed="false">
      <c r="A477" s="46" t="s">
        <v>2803</v>
      </c>
      <c r="B477" s="46"/>
      <c r="C477" s="49" t="n">
        <f aca="false">IF(OR(B477="",D477=""),0,COUNTIFS($B$2:$B$501,B477,$D$2:$D$501,"&lt;"&amp;D477)+COUNTIFS($B$2:$B$501,B477,$D$2:$D$501,D477,$A$2:$A$501,"&lt;"&amp;A477)+1)</f>
        <v>0</v>
      </c>
      <c r="D477" s="46"/>
      <c r="E477" s="46"/>
      <c r="F477" s="46"/>
      <c r="G477" s="46"/>
      <c r="H477" s="46"/>
      <c r="I477" s="46"/>
      <c r="J477" s="46"/>
      <c r="K477" s="46"/>
      <c r="L477" s="46"/>
      <c r="M477" s="46" t="str">
        <f aca="false">IF(B477="","",IF(H477&lt;&gt;"Yes","No",IF(C477=SUMPRODUCT(MAX(($B$2:$B$501=B477)*($H$2:$H$501="Yes")*$C$2:$C$501)),"Yes","No")))</f>
        <v/>
      </c>
      <c r="N477" s="46" t="str">
        <f aca="false">IF(B477="","",IF(H477&lt;&gt;"Yes","Not frozen",IF(AND(J477="Yes",K477="Yes",L477="Yes"),"Complete","Incomplete")))</f>
        <v/>
      </c>
      <c r="O477" s="46" t="str">
        <f aca="false">IF(B477="","",IF(OR(F477="Simbli",F477="Shared folder"),"Yes","No"))</f>
        <v/>
      </c>
      <c r="P477" s="46"/>
    </row>
    <row r="478" customFormat="false" ht="15" hidden="false" customHeight="false" outlineLevel="0" collapsed="false">
      <c r="A478" s="46" t="s">
        <v>2804</v>
      </c>
      <c r="B478" s="46"/>
      <c r="C478" s="49" t="n">
        <f aca="false">IF(OR(B478="",D478=""),0,COUNTIFS($B$2:$B$501,B478,$D$2:$D$501,"&lt;"&amp;D478)+COUNTIFS($B$2:$B$501,B478,$D$2:$D$501,D478,$A$2:$A$501,"&lt;"&amp;A478)+1)</f>
        <v>0</v>
      </c>
      <c r="D478" s="46"/>
      <c r="E478" s="46"/>
      <c r="F478" s="46"/>
      <c r="G478" s="46"/>
      <c r="H478" s="46"/>
      <c r="I478" s="46"/>
      <c r="J478" s="46"/>
      <c r="K478" s="46"/>
      <c r="L478" s="46"/>
      <c r="M478" s="46" t="str">
        <f aca="false">IF(B478="","",IF(H478&lt;&gt;"Yes","No",IF(C478=SUMPRODUCT(MAX(($B$2:$B$501=B478)*($H$2:$H$501="Yes")*$C$2:$C$501)),"Yes","No")))</f>
        <v/>
      </c>
      <c r="N478" s="46" t="str">
        <f aca="false">IF(B478="","",IF(H478&lt;&gt;"Yes","Not frozen",IF(AND(J478="Yes",K478="Yes",L478="Yes"),"Complete","Incomplete")))</f>
        <v/>
      </c>
      <c r="O478" s="46" t="str">
        <f aca="false">IF(B478="","",IF(OR(F478="Simbli",F478="Shared folder"),"Yes","No"))</f>
        <v/>
      </c>
      <c r="P478" s="46"/>
    </row>
    <row r="479" customFormat="false" ht="15" hidden="false" customHeight="false" outlineLevel="0" collapsed="false">
      <c r="A479" s="46" t="s">
        <v>2805</v>
      </c>
      <c r="B479" s="46"/>
      <c r="C479" s="49" t="n">
        <f aca="false">IF(OR(B479="",D479=""),0,COUNTIFS($B$2:$B$501,B479,$D$2:$D$501,"&lt;"&amp;D479)+COUNTIFS($B$2:$B$501,B479,$D$2:$D$501,D479,$A$2:$A$501,"&lt;"&amp;A479)+1)</f>
        <v>0</v>
      </c>
      <c r="D479" s="46"/>
      <c r="E479" s="46"/>
      <c r="F479" s="46"/>
      <c r="G479" s="46"/>
      <c r="H479" s="46"/>
      <c r="I479" s="46"/>
      <c r="J479" s="46"/>
      <c r="K479" s="46"/>
      <c r="L479" s="46"/>
      <c r="M479" s="46" t="str">
        <f aca="false">IF(B479="","",IF(H479&lt;&gt;"Yes","No",IF(C479=SUMPRODUCT(MAX(($B$2:$B$501=B479)*($H$2:$H$501="Yes")*$C$2:$C$501)),"Yes","No")))</f>
        <v/>
      </c>
      <c r="N479" s="46" t="str">
        <f aca="false">IF(B479="","",IF(H479&lt;&gt;"Yes","Not frozen",IF(AND(J479="Yes",K479="Yes",L479="Yes"),"Complete","Incomplete")))</f>
        <v/>
      </c>
      <c r="O479" s="46" t="str">
        <f aca="false">IF(B479="","",IF(OR(F479="Simbli",F479="Shared folder"),"Yes","No"))</f>
        <v/>
      </c>
      <c r="P479" s="46"/>
    </row>
    <row r="480" customFormat="false" ht="15" hidden="false" customHeight="false" outlineLevel="0" collapsed="false">
      <c r="A480" s="46" t="s">
        <v>2806</v>
      </c>
      <c r="B480" s="46"/>
      <c r="C480" s="49" t="n">
        <f aca="false">IF(OR(B480="",D480=""),0,COUNTIFS($B$2:$B$501,B480,$D$2:$D$501,"&lt;"&amp;D480)+COUNTIFS($B$2:$B$501,B480,$D$2:$D$501,D480,$A$2:$A$501,"&lt;"&amp;A480)+1)</f>
        <v>0</v>
      </c>
      <c r="D480" s="46"/>
      <c r="E480" s="46"/>
      <c r="F480" s="46"/>
      <c r="G480" s="46"/>
      <c r="H480" s="46"/>
      <c r="I480" s="46"/>
      <c r="J480" s="46"/>
      <c r="K480" s="46"/>
      <c r="L480" s="46"/>
      <c r="M480" s="46" t="str">
        <f aca="false">IF(B480="","",IF(H480&lt;&gt;"Yes","No",IF(C480=SUMPRODUCT(MAX(($B$2:$B$501=B480)*($H$2:$H$501="Yes")*$C$2:$C$501)),"Yes","No")))</f>
        <v/>
      </c>
      <c r="N480" s="46" t="str">
        <f aca="false">IF(B480="","",IF(H480&lt;&gt;"Yes","Not frozen",IF(AND(J480="Yes",K480="Yes",L480="Yes"),"Complete","Incomplete")))</f>
        <v/>
      </c>
      <c r="O480" s="46" t="str">
        <f aca="false">IF(B480="","",IF(OR(F480="Simbli",F480="Shared folder"),"Yes","No"))</f>
        <v/>
      </c>
      <c r="P480" s="46"/>
    </row>
    <row r="481" customFormat="false" ht="15" hidden="false" customHeight="false" outlineLevel="0" collapsed="false">
      <c r="A481" s="46" t="s">
        <v>2807</v>
      </c>
      <c r="B481" s="46"/>
      <c r="C481" s="49" t="n">
        <f aca="false">IF(OR(B481="",D481=""),0,COUNTIFS($B$2:$B$501,B481,$D$2:$D$501,"&lt;"&amp;D481)+COUNTIFS($B$2:$B$501,B481,$D$2:$D$501,D481,$A$2:$A$501,"&lt;"&amp;A481)+1)</f>
        <v>0</v>
      </c>
      <c r="D481" s="46"/>
      <c r="E481" s="46"/>
      <c r="F481" s="46"/>
      <c r="G481" s="46"/>
      <c r="H481" s="46"/>
      <c r="I481" s="46"/>
      <c r="J481" s="46"/>
      <c r="K481" s="46"/>
      <c r="L481" s="46"/>
      <c r="M481" s="46" t="str">
        <f aca="false">IF(B481="","",IF(H481&lt;&gt;"Yes","No",IF(C481=SUMPRODUCT(MAX(($B$2:$B$501=B481)*($H$2:$H$501="Yes")*$C$2:$C$501)),"Yes","No")))</f>
        <v/>
      </c>
      <c r="N481" s="46" t="str">
        <f aca="false">IF(B481="","",IF(H481&lt;&gt;"Yes","Not frozen",IF(AND(J481="Yes",K481="Yes",L481="Yes"),"Complete","Incomplete")))</f>
        <v/>
      </c>
      <c r="O481" s="46" t="str">
        <f aca="false">IF(B481="","",IF(OR(F481="Simbli",F481="Shared folder"),"Yes","No"))</f>
        <v/>
      </c>
      <c r="P481" s="46"/>
    </row>
    <row r="482" customFormat="false" ht="15" hidden="false" customHeight="false" outlineLevel="0" collapsed="false">
      <c r="A482" s="46" t="s">
        <v>2808</v>
      </c>
      <c r="B482" s="46"/>
      <c r="C482" s="49" t="n">
        <f aca="false">IF(OR(B482="",D482=""),0,COUNTIFS($B$2:$B$501,B482,$D$2:$D$501,"&lt;"&amp;D482)+COUNTIFS($B$2:$B$501,B482,$D$2:$D$501,D482,$A$2:$A$501,"&lt;"&amp;A482)+1)</f>
        <v>0</v>
      </c>
      <c r="D482" s="46"/>
      <c r="E482" s="46"/>
      <c r="F482" s="46"/>
      <c r="G482" s="46"/>
      <c r="H482" s="46"/>
      <c r="I482" s="46"/>
      <c r="J482" s="46"/>
      <c r="K482" s="46"/>
      <c r="L482" s="46"/>
      <c r="M482" s="46" t="str">
        <f aca="false">IF(B482="","",IF(H482&lt;&gt;"Yes","No",IF(C482=SUMPRODUCT(MAX(($B$2:$B$501=B482)*($H$2:$H$501="Yes")*$C$2:$C$501)),"Yes","No")))</f>
        <v/>
      </c>
      <c r="N482" s="46" t="str">
        <f aca="false">IF(B482="","",IF(H482&lt;&gt;"Yes","Not frozen",IF(AND(J482="Yes",K482="Yes",L482="Yes"),"Complete","Incomplete")))</f>
        <v/>
      </c>
      <c r="O482" s="46" t="str">
        <f aca="false">IF(B482="","",IF(OR(F482="Simbli",F482="Shared folder"),"Yes","No"))</f>
        <v/>
      </c>
      <c r="P482" s="46"/>
    </row>
    <row r="483" customFormat="false" ht="15" hidden="false" customHeight="false" outlineLevel="0" collapsed="false">
      <c r="A483" s="46" t="s">
        <v>2809</v>
      </c>
      <c r="B483" s="46"/>
      <c r="C483" s="49" t="n">
        <f aca="false">IF(OR(B483="",D483=""),0,COUNTIFS($B$2:$B$501,B483,$D$2:$D$501,"&lt;"&amp;D483)+COUNTIFS($B$2:$B$501,B483,$D$2:$D$501,D483,$A$2:$A$501,"&lt;"&amp;A483)+1)</f>
        <v>0</v>
      </c>
      <c r="D483" s="46"/>
      <c r="E483" s="46"/>
      <c r="F483" s="46"/>
      <c r="G483" s="46"/>
      <c r="H483" s="46"/>
      <c r="I483" s="46"/>
      <c r="J483" s="46"/>
      <c r="K483" s="46"/>
      <c r="L483" s="46"/>
      <c r="M483" s="46" t="str">
        <f aca="false">IF(B483="","",IF(H483&lt;&gt;"Yes","No",IF(C483=SUMPRODUCT(MAX(($B$2:$B$501=B483)*($H$2:$H$501="Yes")*$C$2:$C$501)),"Yes","No")))</f>
        <v/>
      </c>
      <c r="N483" s="46" t="str">
        <f aca="false">IF(B483="","",IF(H483&lt;&gt;"Yes","Not frozen",IF(AND(J483="Yes",K483="Yes",L483="Yes"),"Complete","Incomplete")))</f>
        <v/>
      </c>
      <c r="O483" s="46" t="str">
        <f aca="false">IF(B483="","",IF(OR(F483="Simbli",F483="Shared folder"),"Yes","No"))</f>
        <v/>
      </c>
      <c r="P483" s="46"/>
    </row>
    <row r="484" customFormat="false" ht="15" hidden="false" customHeight="false" outlineLevel="0" collapsed="false">
      <c r="A484" s="46" t="s">
        <v>2810</v>
      </c>
      <c r="B484" s="46"/>
      <c r="C484" s="49" t="n">
        <f aca="false">IF(OR(B484="",D484=""),0,COUNTIFS($B$2:$B$501,B484,$D$2:$D$501,"&lt;"&amp;D484)+COUNTIFS($B$2:$B$501,B484,$D$2:$D$501,D484,$A$2:$A$501,"&lt;"&amp;A484)+1)</f>
        <v>0</v>
      </c>
      <c r="D484" s="46"/>
      <c r="E484" s="46"/>
      <c r="F484" s="46"/>
      <c r="G484" s="46"/>
      <c r="H484" s="46"/>
      <c r="I484" s="46"/>
      <c r="J484" s="46"/>
      <c r="K484" s="46"/>
      <c r="L484" s="46"/>
      <c r="M484" s="46" t="str">
        <f aca="false">IF(B484="","",IF(H484&lt;&gt;"Yes","No",IF(C484=SUMPRODUCT(MAX(($B$2:$B$501=B484)*($H$2:$H$501="Yes")*$C$2:$C$501)),"Yes","No")))</f>
        <v/>
      </c>
      <c r="N484" s="46" t="str">
        <f aca="false">IF(B484="","",IF(H484&lt;&gt;"Yes","Not frozen",IF(AND(J484="Yes",K484="Yes",L484="Yes"),"Complete","Incomplete")))</f>
        <v/>
      </c>
      <c r="O484" s="46" t="str">
        <f aca="false">IF(B484="","",IF(OR(F484="Simbli",F484="Shared folder"),"Yes","No"))</f>
        <v/>
      </c>
      <c r="P484" s="46"/>
    </row>
    <row r="485" customFormat="false" ht="15" hidden="false" customHeight="false" outlineLevel="0" collapsed="false">
      <c r="A485" s="46" t="s">
        <v>2811</v>
      </c>
      <c r="B485" s="46"/>
      <c r="C485" s="49" t="n">
        <f aca="false">IF(OR(B485="",D485=""),0,COUNTIFS($B$2:$B$501,B485,$D$2:$D$501,"&lt;"&amp;D485)+COUNTIFS($B$2:$B$501,B485,$D$2:$D$501,D485,$A$2:$A$501,"&lt;"&amp;A485)+1)</f>
        <v>0</v>
      </c>
      <c r="D485" s="46"/>
      <c r="E485" s="46"/>
      <c r="F485" s="46"/>
      <c r="G485" s="46"/>
      <c r="H485" s="46"/>
      <c r="I485" s="46"/>
      <c r="J485" s="46"/>
      <c r="K485" s="46"/>
      <c r="L485" s="46"/>
      <c r="M485" s="46" t="str">
        <f aca="false">IF(B485="","",IF(H485&lt;&gt;"Yes","No",IF(C485=SUMPRODUCT(MAX(($B$2:$B$501=B485)*($H$2:$H$501="Yes")*$C$2:$C$501)),"Yes","No")))</f>
        <v/>
      </c>
      <c r="N485" s="46" t="str">
        <f aca="false">IF(B485="","",IF(H485&lt;&gt;"Yes","Not frozen",IF(AND(J485="Yes",K485="Yes",L485="Yes"),"Complete","Incomplete")))</f>
        <v/>
      </c>
      <c r="O485" s="46" t="str">
        <f aca="false">IF(B485="","",IF(OR(F485="Simbli",F485="Shared folder"),"Yes","No"))</f>
        <v/>
      </c>
      <c r="P485" s="46"/>
    </row>
    <row r="486" customFormat="false" ht="15" hidden="false" customHeight="false" outlineLevel="0" collapsed="false">
      <c r="A486" s="46" t="s">
        <v>2812</v>
      </c>
      <c r="B486" s="46"/>
      <c r="C486" s="49" t="n">
        <f aca="false">IF(OR(B486="",D486=""),0,COUNTIFS($B$2:$B$501,B486,$D$2:$D$501,"&lt;"&amp;D486)+COUNTIFS($B$2:$B$501,B486,$D$2:$D$501,D486,$A$2:$A$501,"&lt;"&amp;A486)+1)</f>
        <v>0</v>
      </c>
      <c r="D486" s="46"/>
      <c r="E486" s="46"/>
      <c r="F486" s="46"/>
      <c r="G486" s="46"/>
      <c r="H486" s="46"/>
      <c r="I486" s="46"/>
      <c r="J486" s="46"/>
      <c r="K486" s="46"/>
      <c r="L486" s="46"/>
      <c r="M486" s="46" t="str">
        <f aca="false">IF(B486="","",IF(H486&lt;&gt;"Yes","No",IF(C486=SUMPRODUCT(MAX(($B$2:$B$501=B486)*($H$2:$H$501="Yes")*$C$2:$C$501)),"Yes","No")))</f>
        <v/>
      </c>
      <c r="N486" s="46" t="str">
        <f aca="false">IF(B486="","",IF(H486&lt;&gt;"Yes","Not frozen",IF(AND(J486="Yes",K486="Yes",L486="Yes"),"Complete","Incomplete")))</f>
        <v/>
      </c>
      <c r="O486" s="46" t="str">
        <f aca="false">IF(B486="","",IF(OR(F486="Simbli",F486="Shared folder"),"Yes","No"))</f>
        <v/>
      </c>
      <c r="P486" s="46"/>
    </row>
    <row r="487" customFormat="false" ht="15" hidden="false" customHeight="false" outlineLevel="0" collapsed="false">
      <c r="A487" s="46" t="s">
        <v>2813</v>
      </c>
      <c r="B487" s="46"/>
      <c r="C487" s="49" t="n">
        <f aca="false">IF(OR(B487="",D487=""),0,COUNTIFS($B$2:$B$501,B487,$D$2:$D$501,"&lt;"&amp;D487)+COUNTIFS($B$2:$B$501,B487,$D$2:$D$501,D487,$A$2:$A$501,"&lt;"&amp;A487)+1)</f>
        <v>0</v>
      </c>
      <c r="D487" s="46"/>
      <c r="E487" s="46"/>
      <c r="F487" s="46"/>
      <c r="G487" s="46"/>
      <c r="H487" s="46"/>
      <c r="I487" s="46"/>
      <c r="J487" s="46"/>
      <c r="K487" s="46"/>
      <c r="L487" s="46"/>
      <c r="M487" s="46" t="str">
        <f aca="false">IF(B487="","",IF(H487&lt;&gt;"Yes","No",IF(C487=SUMPRODUCT(MAX(($B$2:$B$501=B487)*($H$2:$H$501="Yes")*$C$2:$C$501)),"Yes","No")))</f>
        <v/>
      </c>
      <c r="N487" s="46" t="str">
        <f aca="false">IF(B487="","",IF(H487&lt;&gt;"Yes","Not frozen",IF(AND(J487="Yes",K487="Yes",L487="Yes"),"Complete","Incomplete")))</f>
        <v/>
      </c>
      <c r="O487" s="46" t="str">
        <f aca="false">IF(B487="","",IF(OR(F487="Simbli",F487="Shared folder"),"Yes","No"))</f>
        <v/>
      </c>
      <c r="P487" s="46"/>
    </row>
    <row r="488" customFormat="false" ht="15" hidden="false" customHeight="false" outlineLevel="0" collapsed="false">
      <c r="A488" s="46" t="s">
        <v>2814</v>
      </c>
      <c r="B488" s="46"/>
      <c r="C488" s="49" t="n">
        <f aca="false">IF(OR(B488="",D488=""),0,COUNTIFS($B$2:$B$501,B488,$D$2:$D$501,"&lt;"&amp;D488)+COUNTIFS($B$2:$B$501,B488,$D$2:$D$501,D488,$A$2:$A$501,"&lt;"&amp;A488)+1)</f>
        <v>0</v>
      </c>
      <c r="D488" s="46"/>
      <c r="E488" s="46"/>
      <c r="F488" s="46"/>
      <c r="G488" s="46"/>
      <c r="H488" s="46"/>
      <c r="I488" s="46"/>
      <c r="J488" s="46"/>
      <c r="K488" s="46"/>
      <c r="L488" s="46"/>
      <c r="M488" s="46" t="str">
        <f aca="false">IF(B488="","",IF(H488&lt;&gt;"Yes","No",IF(C488=SUMPRODUCT(MAX(($B$2:$B$501=B488)*($H$2:$H$501="Yes")*$C$2:$C$501)),"Yes","No")))</f>
        <v/>
      </c>
      <c r="N488" s="46" t="str">
        <f aca="false">IF(B488="","",IF(H488&lt;&gt;"Yes","Not frozen",IF(AND(J488="Yes",K488="Yes",L488="Yes"),"Complete","Incomplete")))</f>
        <v/>
      </c>
      <c r="O488" s="46" t="str">
        <f aca="false">IF(B488="","",IF(OR(F488="Simbli",F488="Shared folder"),"Yes","No"))</f>
        <v/>
      </c>
      <c r="P488" s="46"/>
    </row>
    <row r="489" customFormat="false" ht="15" hidden="false" customHeight="false" outlineLevel="0" collapsed="false">
      <c r="A489" s="46" t="s">
        <v>2815</v>
      </c>
      <c r="B489" s="46"/>
      <c r="C489" s="49" t="n">
        <f aca="false">IF(OR(B489="",D489=""),0,COUNTIFS($B$2:$B$501,B489,$D$2:$D$501,"&lt;"&amp;D489)+COUNTIFS($B$2:$B$501,B489,$D$2:$D$501,D489,$A$2:$A$501,"&lt;"&amp;A489)+1)</f>
        <v>0</v>
      </c>
      <c r="D489" s="46"/>
      <c r="E489" s="46"/>
      <c r="F489" s="46"/>
      <c r="G489" s="46"/>
      <c r="H489" s="46"/>
      <c r="I489" s="46"/>
      <c r="J489" s="46"/>
      <c r="K489" s="46"/>
      <c r="L489" s="46"/>
      <c r="M489" s="46" t="str">
        <f aca="false">IF(B489="","",IF(H489&lt;&gt;"Yes","No",IF(C489=SUMPRODUCT(MAX(($B$2:$B$501=B489)*($H$2:$H$501="Yes")*$C$2:$C$501)),"Yes","No")))</f>
        <v/>
      </c>
      <c r="N489" s="46" t="str">
        <f aca="false">IF(B489="","",IF(H489&lt;&gt;"Yes","Not frozen",IF(AND(J489="Yes",K489="Yes",L489="Yes"),"Complete","Incomplete")))</f>
        <v/>
      </c>
      <c r="O489" s="46" t="str">
        <f aca="false">IF(B489="","",IF(OR(F489="Simbli",F489="Shared folder"),"Yes","No"))</f>
        <v/>
      </c>
      <c r="P489" s="46"/>
    </row>
    <row r="490" customFormat="false" ht="15" hidden="false" customHeight="false" outlineLevel="0" collapsed="false">
      <c r="A490" s="46" t="s">
        <v>2816</v>
      </c>
      <c r="B490" s="46"/>
      <c r="C490" s="49" t="n">
        <f aca="false">IF(OR(B490="",D490=""),0,COUNTIFS($B$2:$B$501,B490,$D$2:$D$501,"&lt;"&amp;D490)+COUNTIFS($B$2:$B$501,B490,$D$2:$D$501,D490,$A$2:$A$501,"&lt;"&amp;A490)+1)</f>
        <v>0</v>
      </c>
      <c r="D490" s="46"/>
      <c r="E490" s="46"/>
      <c r="F490" s="46"/>
      <c r="G490" s="46"/>
      <c r="H490" s="46"/>
      <c r="I490" s="46"/>
      <c r="J490" s="46"/>
      <c r="K490" s="46"/>
      <c r="L490" s="46"/>
      <c r="M490" s="46" t="str">
        <f aca="false">IF(B490="","",IF(H490&lt;&gt;"Yes","No",IF(C490=SUMPRODUCT(MAX(($B$2:$B$501=B490)*($H$2:$H$501="Yes")*$C$2:$C$501)),"Yes","No")))</f>
        <v/>
      </c>
      <c r="N490" s="46" t="str">
        <f aca="false">IF(B490="","",IF(H490&lt;&gt;"Yes","Not frozen",IF(AND(J490="Yes",K490="Yes",L490="Yes"),"Complete","Incomplete")))</f>
        <v/>
      </c>
      <c r="O490" s="46" t="str">
        <f aca="false">IF(B490="","",IF(OR(F490="Simbli",F490="Shared folder"),"Yes","No"))</f>
        <v/>
      </c>
      <c r="P490" s="46"/>
    </row>
    <row r="491" customFormat="false" ht="15" hidden="false" customHeight="false" outlineLevel="0" collapsed="false">
      <c r="A491" s="46" t="s">
        <v>2817</v>
      </c>
      <c r="B491" s="46"/>
      <c r="C491" s="49" t="n">
        <f aca="false">IF(OR(B491="",D491=""),0,COUNTIFS($B$2:$B$501,B491,$D$2:$D$501,"&lt;"&amp;D491)+COUNTIFS($B$2:$B$501,B491,$D$2:$D$501,D491,$A$2:$A$501,"&lt;"&amp;A491)+1)</f>
        <v>0</v>
      </c>
      <c r="D491" s="46"/>
      <c r="E491" s="46"/>
      <c r="F491" s="46"/>
      <c r="G491" s="46"/>
      <c r="H491" s="46"/>
      <c r="I491" s="46"/>
      <c r="J491" s="46"/>
      <c r="K491" s="46"/>
      <c r="L491" s="46"/>
      <c r="M491" s="46" t="str">
        <f aca="false">IF(B491="","",IF(H491&lt;&gt;"Yes","No",IF(C491=SUMPRODUCT(MAX(($B$2:$B$501=B491)*($H$2:$H$501="Yes")*$C$2:$C$501)),"Yes","No")))</f>
        <v/>
      </c>
      <c r="N491" s="46" t="str">
        <f aca="false">IF(B491="","",IF(H491&lt;&gt;"Yes","Not frozen",IF(AND(J491="Yes",K491="Yes",L491="Yes"),"Complete","Incomplete")))</f>
        <v/>
      </c>
      <c r="O491" s="46" t="str">
        <f aca="false">IF(B491="","",IF(OR(F491="Simbli",F491="Shared folder"),"Yes","No"))</f>
        <v/>
      </c>
      <c r="P491" s="46"/>
    </row>
    <row r="492" customFormat="false" ht="15" hidden="false" customHeight="false" outlineLevel="0" collapsed="false">
      <c r="A492" s="46" t="s">
        <v>2818</v>
      </c>
      <c r="B492" s="46"/>
      <c r="C492" s="49" t="n">
        <f aca="false">IF(OR(B492="",D492=""),0,COUNTIFS($B$2:$B$501,B492,$D$2:$D$501,"&lt;"&amp;D492)+COUNTIFS($B$2:$B$501,B492,$D$2:$D$501,D492,$A$2:$A$501,"&lt;"&amp;A492)+1)</f>
        <v>0</v>
      </c>
      <c r="D492" s="46"/>
      <c r="E492" s="46"/>
      <c r="F492" s="46"/>
      <c r="G492" s="46"/>
      <c r="H492" s="46"/>
      <c r="I492" s="46"/>
      <c r="J492" s="46"/>
      <c r="K492" s="46"/>
      <c r="L492" s="46"/>
      <c r="M492" s="46" t="str">
        <f aca="false">IF(B492="","",IF(H492&lt;&gt;"Yes","No",IF(C492=SUMPRODUCT(MAX(($B$2:$B$501=B492)*($H$2:$H$501="Yes")*$C$2:$C$501)),"Yes","No")))</f>
        <v/>
      </c>
      <c r="N492" s="46" t="str">
        <f aca="false">IF(B492="","",IF(H492&lt;&gt;"Yes","Not frozen",IF(AND(J492="Yes",K492="Yes",L492="Yes"),"Complete","Incomplete")))</f>
        <v/>
      </c>
      <c r="O492" s="46" t="str">
        <f aca="false">IF(B492="","",IF(OR(F492="Simbli",F492="Shared folder"),"Yes","No"))</f>
        <v/>
      </c>
      <c r="P492" s="46"/>
    </row>
    <row r="493" customFormat="false" ht="15" hidden="false" customHeight="false" outlineLevel="0" collapsed="false">
      <c r="A493" s="46" t="s">
        <v>2819</v>
      </c>
      <c r="B493" s="46"/>
      <c r="C493" s="49" t="n">
        <f aca="false">IF(OR(B493="",D493=""),0,COUNTIFS($B$2:$B$501,B493,$D$2:$D$501,"&lt;"&amp;D493)+COUNTIFS($B$2:$B$501,B493,$D$2:$D$501,D493,$A$2:$A$501,"&lt;"&amp;A493)+1)</f>
        <v>0</v>
      </c>
      <c r="D493" s="46"/>
      <c r="E493" s="46"/>
      <c r="F493" s="46"/>
      <c r="G493" s="46"/>
      <c r="H493" s="46"/>
      <c r="I493" s="46"/>
      <c r="J493" s="46"/>
      <c r="K493" s="46"/>
      <c r="L493" s="46"/>
      <c r="M493" s="46" t="str">
        <f aca="false">IF(B493="","",IF(H493&lt;&gt;"Yes","No",IF(C493=SUMPRODUCT(MAX(($B$2:$B$501=B493)*($H$2:$H$501="Yes")*$C$2:$C$501)),"Yes","No")))</f>
        <v/>
      </c>
      <c r="N493" s="46" t="str">
        <f aca="false">IF(B493="","",IF(H493&lt;&gt;"Yes","Not frozen",IF(AND(J493="Yes",K493="Yes",L493="Yes"),"Complete","Incomplete")))</f>
        <v/>
      </c>
      <c r="O493" s="46" t="str">
        <f aca="false">IF(B493="","",IF(OR(F493="Simbli",F493="Shared folder"),"Yes","No"))</f>
        <v/>
      </c>
      <c r="P493" s="46"/>
    </row>
    <row r="494" customFormat="false" ht="15" hidden="false" customHeight="false" outlineLevel="0" collapsed="false">
      <c r="A494" s="46" t="s">
        <v>2820</v>
      </c>
      <c r="B494" s="46"/>
      <c r="C494" s="49" t="n">
        <f aca="false">IF(OR(B494="",D494=""),0,COUNTIFS($B$2:$B$501,B494,$D$2:$D$501,"&lt;"&amp;D494)+COUNTIFS($B$2:$B$501,B494,$D$2:$D$501,D494,$A$2:$A$501,"&lt;"&amp;A494)+1)</f>
        <v>0</v>
      </c>
      <c r="D494" s="46"/>
      <c r="E494" s="46"/>
      <c r="F494" s="46"/>
      <c r="G494" s="46"/>
      <c r="H494" s="46"/>
      <c r="I494" s="46"/>
      <c r="J494" s="46"/>
      <c r="K494" s="46"/>
      <c r="L494" s="46"/>
      <c r="M494" s="46" t="str">
        <f aca="false">IF(B494="","",IF(H494&lt;&gt;"Yes","No",IF(C494=SUMPRODUCT(MAX(($B$2:$B$501=B494)*($H$2:$H$501="Yes")*$C$2:$C$501)),"Yes","No")))</f>
        <v/>
      </c>
      <c r="N494" s="46" t="str">
        <f aca="false">IF(B494="","",IF(H494&lt;&gt;"Yes","Not frozen",IF(AND(J494="Yes",K494="Yes",L494="Yes"),"Complete","Incomplete")))</f>
        <v/>
      </c>
      <c r="O494" s="46" t="str">
        <f aca="false">IF(B494="","",IF(OR(F494="Simbli",F494="Shared folder"),"Yes","No"))</f>
        <v/>
      </c>
      <c r="P494" s="46"/>
    </row>
    <row r="495" customFormat="false" ht="15" hidden="false" customHeight="false" outlineLevel="0" collapsed="false">
      <c r="A495" s="46" t="s">
        <v>2821</v>
      </c>
      <c r="B495" s="46"/>
      <c r="C495" s="49" t="n">
        <f aca="false">IF(OR(B495="",D495=""),0,COUNTIFS($B$2:$B$501,B495,$D$2:$D$501,"&lt;"&amp;D495)+COUNTIFS($B$2:$B$501,B495,$D$2:$D$501,D495,$A$2:$A$501,"&lt;"&amp;A495)+1)</f>
        <v>0</v>
      </c>
      <c r="D495" s="46"/>
      <c r="E495" s="46"/>
      <c r="F495" s="46"/>
      <c r="G495" s="46"/>
      <c r="H495" s="46"/>
      <c r="I495" s="46"/>
      <c r="J495" s="46"/>
      <c r="K495" s="46"/>
      <c r="L495" s="46"/>
      <c r="M495" s="46" t="str">
        <f aca="false">IF(B495="","",IF(H495&lt;&gt;"Yes","No",IF(C495=SUMPRODUCT(MAX(($B$2:$B$501=B495)*($H$2:$H$501="Yes")*$C$2:$C$501)),"Yes","No")))</f>
        <v/>
      </c>
      <c r="N495" s="46" t="str">
        <f aca="false">IF(B495="","",IF(H495&lt;&gt;"Yes","Not frozen",IF(AND(J495="Yes",K495="Yes",L495="Yes"),"Complete","Incomplete")))</f>
        <v/>
      </c>
      <c r="O495" s="46" t="str">
        <f aca="false">IF(B495="","",IF(OR(F495="Simbli",F495="Shared folder"),"Yes","No"))</f>
        <v/>
      </c>
      <c r="P495" s="46"/>
    </row>
    <row r="496" customFormat="false" ht="15" hidden="false" customHeight="false" outlineLevel="0" collapsed="false">
      <c r="A496" s="46" t="s">
        <v>2822</v>
      </c>
      <c r="B496" s="46"/>
      <c r="C496" s="49" t="n">
        <f aca="false">IF(OR(B496="",D496=""),0,COUNTIFS($B$2:$B$501,B496,$D$2:$D$501,"&lt;"&amp;D496)+COUNTIFS($B$2:$B$501,B496,$D$2:$D$501,D496,$A$2:$A$501,"&lt;"&amp;A496)+1)</f>
        <v>0</v>
      </c>
      <c r="D496" s="46"/>
      <c r="E496" s="46"/>
      <c r="F496" s="46"/>
      <c r="G496" s="46"/>
      <c r="H496" s="46"/>
      <c r="I496" s="46"/>
      <c r="J496" s="46"/>
      <c r="K496" s="46"/>
      <c r="L496" s="46"/>
      <c r="M496" s="46" t="str">
        <f aca="false">IF(B496="","",IF(H496&lt;&gt;"Yes","No",IF(C496=SUMPRODUCT(MAX(($B$2:$B$501=B496)*($H$2:$H$501="Yes")*$C$2:$C$501)),"Yes","No")))</f>
        <v/>
      </c>
      <c r="N496" s="46" t="str">
        <f aca="false">IF(B496="","",IF(H496&lt;&gt;"Yes","Not frozen",IF(AND(J496="Yes",K496="Yes",L496="Yes"),"Complete","Incomplete")))</f>
        <v/>
      </c>
      <c r="O496" s="46" t="str">
        <f aca="false">IF(B496="","",IF(OR(F496="Simbli",F496="Shared folder"),"Yes","No"))</f>
        <v/>
      </c>
      <c r="P496" s="46"/>
    </row>
    <row r="497" customFormat="false" ht="15" hidden="false" customHeight="false" outlineLevel="0" collapsed="false">
      <c r="A497" s="46" t="s">
        <v>2823</v>
      </c>
      <c r="B497" s="46"/>
      <c r="C497" s="49" t="n">
        <f aca="false">IF(OR(B497="",D497=""),0,COUNTIFS($B$2:$B$501,B497,$D$2:$D$501,"&lt;"&amp;D497)+COUNTIFS($B$2:$B$501,B497,$D$2:$D$501,D497,$A$2:$A$501,"&lt;"&amp;A497)+1)</f>
        <v>0</v>
      </c>
      <c r="D497" s="46"/>
      <c r="E497" s="46"/>
      <c r="F497" s="46"/>
      <c r="G497" s="46"/>
      <c r="H497" s="46"/>
      <c r="I497" s="46"/>
      <c r="J497" s="46"/>
      <c r="K497" s="46"/>
      <c r="L497" s="46"/>
      <c r="M497" s="46" t="str">
        <f aca="false">IF(B497="","",IF(H497&lt;&gt;"Yes","No",IF(C497=SUMPRODUCT(MAX(($B$2:$B$501=B497)*($H$2:$H$501="Yes")*$C$2:$C$501)),"Yes","No")))</f>
        <v/>
      </c>
      <c r="N497" s="46" t="str">
        <f aca="false">IF(B497="","",IF(H497&lt;&gt;"Yes","Not frozen",IF(AND(J497="Yes",K497="Yes",L497="Yes"),"Complete","Incomplete")))</f>
        <v/>
      </c>
      <c r="O497" s="46" t="str">
        <f aca="false">IF(B497="","",IF(OR(F497="Simbli",F497="Shared folder"),"Yes","No"))</f>
        <v/>
      </c>
      <c r="P497" s="46"/>
    </row>
    <row r="498" customFormat="false" ht="15" hidden="false" customHeight="false" outlineLevel="0" collapsed="false">
      <c r="A498" s="46" t="s">
        <v>2824</v>
      </c>
      <c r="B498" s="46"/>
      <c r="C498" s="49" t="n">
        <f aca="false">IF(OR(B498="",D498=""),0,COUNTIFS($B$2:$B$501,B498,$D$2:$D$501,"&lt;"&amp;D498)+COUNTIFS($B$2:$B$501,B498,$D$2:$D$501,D498,$A$2:$A$501,"&lt;"&amp;A498)+1)</f>
        <v>0</v>
      </c>
      <c r="D498" s="46"/>
      <c r="E498" s="46"/>
      <c r="F498" s="46"/>
      <c r="G498" s="46"/>
      <c r="H498" s="46"/>
      <c r="I498" s="46"/>
      <c r="J498" s="46"/>
      <c r="K498" s="46"/>
      <c r="L498" s="46"/>
      <c r="M498" s="46" t="str">
        <f aca="false">IF(B498="","",IF(H498&lt;&gt;"Yes","No",IF(C498=SUMPRODUCT(MAX(($B$2:$B$501=B498)*($H$2:$H$501="Yes")*$C$2:$C$501)),"Yes","No")))</f>
        <v/>
      </c>
      <c r="N498" s="46" t="str">
        <f aca="false">IF(B498="","",IF(H498&lt;&gt;"Yes","Not frozen",IF(AND(J498="Yes",K498="Yes",L498="Yes"),"Complete","Incomplete")))</f>
        <v/>
      </c>
      <c r="O498" s="46" t="str">
        <f aca="false">IF(B498="","",IF(OR(F498="Simbli",F498="Shared folder"),"Yes","No"))</f>
        <v/>
      </c>
      <c r="P498" s="46"/>
    </row>
    <row r="499" customFormat="false" ht="15" hidden="false" customHeight="false" outlineLevel="0" collapsed="false">
      <c r="A499" s="46" t="s">
        <v>2825</v>
      </c>
      <c r="B499" s="46"/>
      <c r="C499" s="49" t="n">
        <f aca="false">IF(OR(B499="",D499=""),0,COUNTIFS($B$2:$B$501,B499,$D$2:$D$501,"&lt;"&amp;D499)+COUNTIFS($B$2:$B$501,B499,$D$2:$D$501,D499,$A$2:$A$501,"&lt;"&amp;A499)+1)</f>
        <v>0</v>
      </c>
      <c r="D499" s="46"/>
      <c r="E499" s="46"/>
      <c r="F499" s="46"/>
      <c r="G499" s="46"/>
      <c r="H499" s="46"/>
      <c r="I499" s="46"/>
      <c r="J499" s="46"/>
      <c r="K499" s="46"/>
      <c r="L499" s="46"/>
      <c r="M499" s="46" t="str">
        <f aca="false">IF(B499="","",IF(H499&lt;&gt;"Yes","No",IF(C499=SUMPRODUCT(MAX(($B$2:$B$501=B499)*($H$2:$H$501="Yes")*$C$2:$C$501)),"Yes","No")))</f>
        <v/>
      </c>
      <c r="N499" s="46" t="str">
        <f aca="false">IF(B499="","",IF(H499&lt;&gt;"Yes","Not frozen",IF(AND(J499="Yes",K499="Yes",L499="Yes"),"Complete","Incomplete")))</f>
        <v/>
      </c>
      <c r="O499" s="46" t="str">
        <f aca="false">IF(B499="","",IF(OR(F499="Simbli",F499="Shared folder"),"Yes","No"))</f>
        <v/>
      </c>
      <c r="P499" s="46"/>
    </row>
    <row r="500" customFormat="false" ht="15" hidden="false" customHeight="false" outlineLevel="0" collapsed="false">
      <c r="A500" s="46" t="s">
        <v>2826</v>
      </c>
      <c r="B500" s="46"/>
      <c r="C500" s="49" t="n">
        <f aca="false">IF(OR(B500="",D500=""),0,COUNTIFS($B$2:$B$501,B500,$D$2:$D$501,"&lt;"&amp;D500)+COUNTIFS($B$2:$B$501,B500,$D$2:$D$501,D500,$A$2:$A$501,"&lt;"&amp;A500)+1)</f>
        <v>0</v>
      </c>
      <c r="D500" s="46"/>
      <c r="E500" s="46"/>
      <c r="F500" s="46"/>
      <c r="G500" s="46"/>
      <c r="H500" s="46"/>
      <c r="I500" s="46"/>
      <c r="J500" s="46"/>
      <c r="K500" s="46"/>
      <c r="L500" s="46"/>
      <c r="M500" s="46" t="str">
        <f aca="false">IF(B500="","",IF(H500&lt;&gt;"Yes","No",IF(C500=SUMPRODUCT(MAX(($B$2:$B$501=B500)*($H$2:$H$501="Yes")*$C$2:$C$501)),"Yes","No")))</f>
        <v/>
      </c>
      <c r="N500" s="46" t="str">
        <f aca="false">IF(B500="","",IF(H500&lt;&gt;"Yes","Not frozen",IF(AND(J500="Yes",K500="Yes",L500="Yes"),"Complete","Incomplete")))</f>
        <v/>
      </c>
      <c r="O500" s="46" t="str">
        <f aca="false">IF(B500="","",IF(OR(F500="Simbli",F500="Shared folder"),"Yes","No"))</f>
        <v/>
      </c>
      <c r="P500" s="46"/>
    </row>
    <row r="501" customFormat="false" ht="15" hidden="false" customHeight="false" outlineLevel="0" collapsed="false">
      <c r="A501" s="46" t="s">
        <v>2827</v>
      </c>
      <c r="B501" s="46"/>
      <c r="C501" s="49" t="n">
        <f aca="false">IF(OR(B501="",D501=""),0,COUNTIFS($B$2:$B$501,B501,$D$2:$D$501,"&lt;"&amp;D501)+COUNTIFS($B$2:$B$501,B501,$D$2:$D$501,D501,$A$2:$A$501,"&lt;"&amp;A501)+1)</f>
        <v>0</v>
      </c>
      <c r="D501" s="46"/>
      <c r="E501" s="46"/>
      <c r="F501" s="46"/>
      <c r="G501" s="46"/>
      <c r="H501" s="46"/>
      <c r="I501" s="46"/>
      <c r="J501" s="46"/>
      <c r="K501" s="46"/>
      <c r="L501" s="46"/>
      <c r="M501" s="46" t="str">
        <f aca="false">IF(B501="","",IF(H501&lt;&gt;"Yes","No",IF(C501=SUMPRODUCT(MAX(($B$2:$B$501=B501)*($H$2:$H$501="Yes")*$C$2:$C$501)),"Yes","No")))</f>
        <v/>
      </c>
      <c r="N501" s="46" t="str">
        <f aca="false">IF(B501="","",IF(H501&lt;&gt;"Yes","Not frozen",IF(AND(J501="Yes",K501="Yes",L501="Yes"),"Complete","Incomplete")))</f>
        <v/>
      </c>
      <c r="O501" s="46" t="str">
        <f aca="false">IF(B501="","",IF(OR(F501="Simbli",F501="Shared folder"),"Yes","No"))</f>
        <v/>
      </c>
      <c r="P501" s="46"/>
    </row>
  </sheetData>
  <conditionalFormatting sqref="N2:N501">
    <cfRule type="expression" priority="2" aboveAverage="0" equalAverage="0" bottom="0" percent="0" rank="0" text="" dxfId="4">
      <formula>N2="Incomplete"</formula>
    </cfRule>
  </conditionalFormatting>
  <conditionalFormatting sqref="O2:O501">
    <cfRule type="expression" priority="3" aboveAverage="0" equalAverage="0" bottom="0" percent="0" rank="0" text="" dxfId="4">
      <formula>O2="No"</formula>
    </cfRule>
  </conditionalFormatting>
  <dataValidations count="6">
    <dataValidation allowBlank="true" errorStyle="stop" operator="between" showDropDown="false" showErrorMessage="false" showInputMessage="false" sqref="F2:F501" type="list">
      <formula1>"Simbli,Shared folder,Email attachment,Personal drive,Printed copy"</formula1>
      <formula2>0</formula2>
    </dataValidation>
    <dataValidation allowBlank="true" errorStyle="stop" operator="between" showDropDown="false" showErrorMessage="false" showInputMessage="false" sqref="H2:H501" type="list">
      <formula1>"Yes,No"</formula1>
      <formula2>0</formula2>
    </dataValidation>
    <dataValidation allowBlank="true" errorStyle="stop" operator="between" showDropDown="false" showErrorMessage="false" showInputMessage="false" sqref="J2:J501" type="list">
      <formula1>"Yes,No"</formula1>
      <formula2>0</formula2>
    </dataValidation>
    <dataValidation allowBlank="true" errorStyle="stop" operator="between" showDropDown="false" showErrorMessage="false" showInputMessage="false" sqref="K2:K501" type="list">
      <formula1>"Yes,No"</formula1>
      <formula2>0</formula2>
    </dataValidation>
    <dataValidation allowBlank="true" errorStyle="stop" operator="between" showDropDown="false" showErrorMessage="false" showInputMessage="false" sqref="L2:L501" type="list">
      <formula1>"Yes,No"</formula1>
      <formula2>0</formula2>
    </dataValidation>
    <dataValidation allowBlank="true" error="This code isn't in the Drafts tab. Check the spelling, or click Yes to keep it." errorStyle="warning" errorTitle="Code not in Drafts" operator="between" showDropDown="false" showErrorMessage="true" showInputMessage="false" sqref="B2:B501" type="list">
      <formula1>Drafts!$A$2:$A$251</formula1>
      <formula2>0</formula2>
    </dataValidation>
  </dataValidations>
  <hyperlinks>
    <hyperlink ref="G2" r:id="rId2" display="Open"/>
    <hyperlink ref="G4" r:id="rId3" display="Open"/>
    <hyperlink ref="G6" r:id="rId4" display="Open"/>
    <hyperlink ref="G8" r:id="rId5" display="Open"/>
    <hyperlink ref="G9" r:id="rId6" display="Open"/>
    <hyperlink ref="G11" r:id="rId7" display="Open"/>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8"/>
  <tableParts>
    <tablePart r:id="rId9"/>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3" min="2" style="0" width="11"/>
    <col collapsed="false" customWidth="true" hidden="false" outlineLevel="0" max="4" min="4" style="0" width="52"/>
    <col collapsed="false" customWidth="true" hidden="false" outlineLevel="0" max="5" min="5" style="0" width="12"/>
    <col collapsed="false" customWidth="true" hidden="false" outlineLevel="0" max="6" min="6" style="0" width="22"/>
    <col collapsed="false" customWidth="true" hidden="false" outlineLevel="0" max="8" min="7" style="0" width="11"/>
    <col collapsed="false" customWidth="true" hidden="false" outlineLevel="0" max="9" min="9" style="0" width="18"/>
    <col collapsed="false" customWidth="true" hidden="false" outlineLevel="0" max="10" min="10" style="0" width="28"/>
    <col collapsed="false" customWidth="true" hidden="false" outlineLevel="0" max="11" min="11" style="0" width="12"/>
  </cols>
  <sheetData>
    <row r="1" customFormat="false" ht="31.5" hidden="false" customHeight="true" outlineLevel="0" collapsed="false">
      <c r="A1" s="44" t="s">
        <v>2828</v>
      </c>
      <c r="B1" s="44" t="s">
        <v>2829</v>
      </c>
      <c r="C1" s="44" t="s">
        <v>2830</v>
      </c>
      <c r="D1" s="44" t="s">
        <v>2831</v>
      </c>
      <c r="E1" s="44" t="s">
        <v>2832</v>
      </c>
      <c r="F1" s="44" t="s">
        <v>2833</v>
      </c>
      <c r="G1" s="44" t="s">
        <v>232</v>
      </c>
      <c r="H1" s="45" t="s">
        <v>2834</v>
      </c>
      <c r="I1" s="45" t="s">
        <v>2835</v>
      </c>
      <c r="J1" s="44" t="s">
        <v>122</v>
      </c>
      <c r="K1" s="44" t="s">
        <v>2836</v>
      </c>
    </row>
    <row r="2" customFormat="false" ht="15" hidden="false" customHeight="false" outlineLevel="0" collapsed="false">
      <c r="A2" s="46" t="s">
        <v>2837</v>
      </c>
      <c r="B2" s="46" t="s">
        <v>70</v>
      </c>
      <c r="C2" s="46" t="s">
        <v>2838</v>
      </c>
      <c r="D2" s="46" t="s">
        <v>2839</v>
      </c>
      <c r="E2" s="47" t="n">
        <v>46296</v>
      </c>
      <c r="F2" s="46" t="s">
        <v>2840</v>
      </c>
      <c r="G2" s="46" t="s">
        <v>2841</v>
      </c>
      <c r="H2" s="46" t="str">
        <f aca="false">IF(C2="","",IF(COUNTIFS(Drafts!$A$2:$A$251,C2,Drafts!$E$2:$E$251,"&lt;&gt;Adopted",Drafts!$E$2:$E$251,"&lt;&gt;Withdrawn")&gt;0,"Yes","No"))</f>
        <v>No</v>
      </c>
      <c r="I2" s="46" t="str">
        <f aca="false">IF(C2="","",IF(G2&lt;&gt;"Waiting",G2,IF(H2="Yes","● Ready to pick up","Waiting")))</f>
        <v>Waiting</v>
      </c>
      <c r="J2" s="46" t="s">
        <v>218</v>
      </c>
      <c r="K2" s="46" t="s">
        <v>292</v>
      </c>
    </row>
    <row r="3" customFormat="false" ht="23.85" hidden="false" customHeight="false" outlineLevel="0" collapsed="false">
      <c r="A3" s="46" t="s">
        <v>2842</v>
      </c>
      <c r="B3" s="46" t="s">
        <v>2843</v>
      </c>
      <c r="C3" s="46" t="s">
        <v>2844</v>
      </c>
      <c r="D3" s="46" t="s">
        <v>2845</v>
      </c>
      <c r="E3" s="47" t="n">
        <v>46303</v>
      </c>
      <c r="F3" s="46" t="s">
        <v>2840</v>
      </c>
      <c r="G3" s="46" t="s">
        <v>2841</v>
      </c>
      <c r="H3" s="46" t="str">
        <f aca="false">IF(C3="","",IF(COUNTIFS(Drafts!$A$2:$A$251,C3,Drafts!$E$2:$E$251,"&lt;&gt;Adopted",Drafts!$E$2:$E$251,"&lt;&gt;Withdrawn")&gt;0,"Yes","No"))</f>
        <v>No</v>
      </c>
      <c r="I3" s="46" t="str">
        <f aca="false">IF(C3="","",IF(G3&lt;&gt;"Waiting",G3,IF(H3="Yes","● Ready to pick up","Waiting")))</f>
        <v>Waiting</v>
      </c>
      <c r="J3" s="46" t="s">
        <v>2846</v>
      </c>
      <c r="K3" s="46"/>
    </row>
    <row r="4" customFormat="false" ht="23.85" hidden="false" customHeight="false" outlineLevel="0" collapsed="false">
      <c r="A4" s="46" t="s">
        <v>2847</v>
      </c>
      <c r="B4" s="46" t="s">
        <v>2843</v>
      </c>
      <c r="C4" s="46" t="s">
        <v>2848</v>
      </c>
      <c r="D4" s="46" t="s">
        <v>2849</v>
      </c>
      <c r="E4" s="47" t="n">
        <v>46303</v>
      </c>
      <c r="F4" s="46" t="s">
        <v>2840</v>
      </c>
      <c r="G4" s="46" t="s">
        <v>2841</v>
      </c>
      <c r="H4" s="46" t="str">
        <f aca="false">IF(C4="","",IF(COUNTIFS(Drafts!$A$2:$A$251,C4,Drafts!$E$2:$E$251,"&lt;&gt;Adopted",Drafts!$E$2:$E$251,"&lt;&gt;Withdrawn")&gt;0,"Yes","No"))</f>
        <v>No</v>
      </c>
      <c r="I4" s="46" t="str">
        <f aca="false">IF(C4="","",IF(G4&lt;&gt;"Waiting",G4,IF(H4="Yes","● Ready to pick up","Waiting")))</f>
        <v>Waiting</v>
      </c>
      <c r="J4" s="46" t="s">
        <v>2846</v>
      </c>
      <c r="K4" s="46"/>
    </row>
    <row r="5" customFormat="false" ht="23.85" hidden="false" customHeight="false" outlineLevel="0" collapsed="false">
      <c r="A5" s="46" t="s">
        <v>2850</v>
      </c>
      <c r="B5" s="46" t="s">
        <v>2843</v>
      </c>
      <c r="C5" s="46" t="s">
        <v>2851</v>
      </c>
      <c r="D5" s="46" t="s">
        <v>2852</v>
      </c>
      <c r="E5" s="47" t="n">
        <v>46303</v>
      </c>
      <c r="F5" s="46" t="s">
        <v>2840</v>
      </c>
      <c r="G5" s="46" t="s">
        <v>2841</v>
      </c>
      <c r="H5" s="46" t="str">
        <f aca="false">IF(C5="","",IF(COUNTIFS(Drafts!$A$2:$A$251,C5,Drafts!$E$2:$E$251,"&lt;&gt;Adopted",Drafts!$E$2:$E$251,"&lt;&gt;Withdrawn")&gt;0,"Yes","No"))</f>
        <v>No</v>
      </c>
      <c r="I5" s="46" t="str">
        <f aca="false">IF(C5="","",IF(G5&lt;&gt;"Waiting",G5,IF(H5="Yes","● Ready to pick up","Waiting")))</f>
        <v>Waiting</v>
      </c>
      <c r="J5" s="46" t="s">
        <v>2846</v>
      </c>
      <c r="K5" s="46"/>
    </row>
    <row r="6" customFormat="false" ht="23.85" hidden="false" customHeight="false" outlineLevel="0" collapsed="false">
      <c r="A6" s="50" t="s">
        <v>2853</v>
      </c>
      <c r="B6" s="50" t="s">
        <v>163</v>
      </c>
      <c r="C6" s="50" t="s">
        <v>173</v>
      </c>
      <c r="D6" s="50" t="s">
        <v>2854</v>
      </c>
      <c r="E6" s="52" t="n">
        <v>46307</v>
      </c>
      <c r="F6" s="50" t="s">
        <v>2840</v>
      </c>
      <c r="G6" s="50" t="s">
        <v>2841</v>
      </c>
      <c r="H6" s="46" t="str">
        <f aca="false">IF(C6="","",IF(COUNTIFS(Drafts!$A$2:$A$251,C6,Drafts!$E$2:$E$251,"&lt;&gt;Adopted",Drafts!$E$2:$E$251,"&lt;&gt;Withdrawn")&gt;0,"Yes","No"))</f>
        <v>Yes</v>
      </c>
      <c r="I6" s="46" t="str">
        <f aca="false">IF(C6="","",IF(G6&lt;&gt;"Waiting",G6,IF(H6="Yes","● Ready to pick up","Waiting")))</f>
        <v>● Ready to pick up</v>
      </c>
      <c r="J6" s="46" t="s">
        <v>2855</v>
      </c>
      <c r="K6" s="46"/>
    </row>
    <row r="7" customFormat="false" ht="15" hidden="false" customHeight="false" outlineLevel="0" collapsed="false">
      <c r="A7" s="46" t="s">
        <v>2856</v>
      </c>
      <c r="B7" s="46"/>
      <c r="C7" s="46"/>
      <c r="D7" s="46"/>
      <c r="E7" s="46"/>
      <c r="F7" s="46"/>
      <c r="G7" s="46"/>
      <c r="H7" s="46" t="str">
        <f aca="false">IF(C7="","",IF(COUNTIFS(Drafts!$A$2:$A$251,C7,Drafts!$E$2:$E$251,"&lt;&gt;Adopted",Drafts!$E$2:$E$251,"&lt;&gt;Withdrawn")&gt;0,"Yes","No"))</f>
        <v/>
      </c>
      <c r="I7" s="46" t="str">
        <f aca="false">IF(C7="","",IF(G7&lt;&gt;"Waiting",G7,IF(H7="Yes","● Ready to pick up","Waiting")))</f>
        <v/>
      </c>
      <c r="J7" s="46"/>
      <c r="K7" s="46"/>
    </row>
    <row r="8" customFormat="false" ht="15" hidden="false" customHeight="false" outlineLevel="0" collapsed="false">
      <c r="A8" s="46" t="s">
        <v>2857</v>
      </c>
      <c r="B8" s="46"/>
      <c r="C8" s="46"/>
      <c r="D8" s="46"/>
      <c r="E8" s="46"/>
      <c r="F8" s="46"/>
      <c r="G8" s="46"/>
      <c r="H8" s="46" t="str">
        <f aca="false">IF(C8="","",IF(COUNTIFS(Drafts!$A$2:$A$251,C8,Drafts!$E$2:$E$251,"&lt;&gt;Adopted",Drafts!$E$2:$E$251,"&lt;&gt;Withdrawn")&gt;0,"Yes","No"))</f>
        <v/>
      </c>
      <c r="I8" s="46" t="str">
        <f aca="false">IF(C8="","",IF(G8&lt;&gt;"Waiting",G8,IF(H8="Yes","● Ready to pick up","Waiting")))</f>
        <v/>
      </c>
      <c r="J8" s="46"/>
      <c r="K8" s="46"/>
    </row>
    <row r="9" customFormat="false" ht="15" hidden="false" customHeight="false" outlineLevel="0" collapsed="false">
      <c r="A9" s="46" t="s">
        <v>2858</v>
      </c>
      <c r="B9" s="46"/>
      <c r="C9" s="46"/>
      <c r="D9" s="46"/>
      <c r="E9" s="46"/>
      <c r="F9" s="46"/>
      <c r="G9" s="46"/>
      <c r="H9" s="46" t="str">
        <f aca="false">IF(C9="","",IF(COUNTIFS(Drafts!$A$2:$A$251,C9,Drafts!$E$2:$E$251,"&lt;&gt;Adopted",Drafts!$E$2:$E$251,"&lt;&gt;Withdrawn")&gt;0,"Yes","No"))</f>
        <v/>
      </c>
      <c r="I9" s="46" t="str">
        <f aca="false">IF(C9="","",IF(G9&lt;&gt;"Waiting",G9,IF(H9="Yes","● Ready to pick up","Waiting")))</f>
        <v/>
      </c>
      <c r="J9" s="46"/>
      <c r="K9" s="46"/>
    </row>
    <row r="10" customFormat="false" ht="15" hidden="false" customHeight="false" outlineLevel="0" collapsed="false">
      <c r="A10" s="46" t="s">
        <v>2859</v>
      </c>
      <c r="B10" s="46"/>
      <c r="C10" s="46"/>
      <c r="D10" s="46"/>
      <c r="E10" s="46"/>
      <c r="F10" s="46"/>
      <c r="G10" s="46"/>
      <c r="H10" s="46" t="str">
        <f aca="false">IF(C10="","",IF(COUNTIFS(Drafts!$A$2:$A$251,C10,Drafts!$E$2:$E$251,"&lt;&gt;Adopted",Drafts!$E$2:$E$251,"&lt;&gt;Withdrawn")&gt;0,"Yes","No"))</f>
        <v/>
      </c>
      <c r="I10" s="46" t="str">
        <f aca="false">IF(C10="","",IF(G10&lt;&gt;"Waiting",G10,IF(H10="Yes","● Ready to pick up","Waiting")))</f>
        <v/>
      </c>
      <c r="J10" s="46"/>
      <c r="K10" s="46"/>
    </row>
    <row r="11" customFormat="false" ht="15" hidden="false" customHeight="false" outlineLevel="0" collapsed="false">
      <c r="A11" s="46" t="s">
        <v>2860</v>
      </c>
      <c r="B11" s="46"/>
      <c r="C11" s="46"/>
      <c r="D11" s="46"/>
      <c r="E11" s="46"/>
      <c r="F11" s="46"/>
      <c r="G11" s="46"/>
      <c r="H11" s="46" t="str">
        <f aca="false">IF(C11="","",IF(COUNTIFS(Drafts!$A$2:$A$251,C11,Drafts!$E$2:$E$251,"&lt;&gt;Adopted",Drafts!$E$2:$E$251,"&lt;&gt;Withdrawn")&gt;0,"Yes","No"))</f>
        <v/>
      </c>
      <c r="I11" s="46" t="str">
        <f aca="false">IF(C11="","",IF(G11&lt;&gt;"Waiting",G11,IF(H11="Yes","● Ready to pick up","Waiting")))</f>
        <v/>
      </c>
      <c r="J11" s="46"/>
      <c r="K11" s="46"/>
    </row>
    <row r="12" customFormat="false" ht="15" hidden="false" customHeight="false" outlineLevel="0" collapsed="false">
      <c r="A12" s="46" t="s">
        <v>2861</v>
      </c>
      <c r="B12" s="46"/>
      <c r="C12" s="46"/>
      <c r="D12" s="46"/>
      <c r="E12" s="46"/>
      <c r="F12" s="46"/>
      <c r="G12" s="46"/>
      <c r="H12" s="46" t="str">
        <f aca="false">IF(C12="","",IF(COUNTIFS(Drafts!$A$2:$A$251,C12,Drafts!$E$2:$E$251,"&lt;&gt;Adopted",Drafts!$E$2:$E$251,"&lt;&gt;Withdrawn")&gt;0,"Yes","No"))</f>
        <v/>
      </c>
      <c r="I12" s="46" t="str">
        <f aca="false">IF(C12="","",IF(G12&lt;&gt;"Waiting",G12,IF(H12="Yes","● Ready to pick up","Waiting")))</f>
        <v/>
      </c>
      <c r="J12" s="46"/>
      <c r="K12" s="46"/>
    </row>
    <row r="13" customFormat="false" ht="15" hidden="false" customHeight="false" outlineLevel="0" collapsed="false">
      <c r="A13" s="46" t="s">
        <v>2862</v>
      </c>
      <c r="B13" s="46"/>
      <c r="C13" s="46"/>
      <c r="D13" s="46"/>
      <c r="E13" s="46"/>
      <c r="F13" s="46"/>
      <c r="G13" s="46"/>
      <c r="H13" s="46" t="str">
        <f aca="false">IF(C13="","",IF(COUNTIFS(Drafts!$A$2:$A$251,C13,Drafts!$E$2:$E$251,"&lt;&gt;Adopted",Drafts!$E$2:$E$251,"&lt;&gt;Withdrawn")&gt;0,"Yes","No"))</f>
        <v/>
      </c>
      <c r="I13" s="46" t="str">
        <f aca="false">IF(C13="","",IF(G13&lt;&gt;"Waiting",G13,IF(H13="Yes","● Ready to pick up","Waiting")))</f>
        <v/>
      </c>
      <c r="J13" s="46"/>
      <c r="K13" s="46"/>
    </row>
    <row r="14" customFormat="false" ht="15" hidden="false" customHeight="false" outlineLevel="0" collapsed="false">
      <c r="A14" s="46" t="s">
        <v>2863</v>
      </c>
      <c r="B14" s="46"/>
      <c r="C14" s="46"/>
      <c r="D14" s="46"/>
      <c r="E14" s="46"/>
      <c r="F14" s="46"/>
      <c r="G14" s="46"/>
      <c r="H14" s="46" t="str">
        <f aca="false">IF(C14="","",IF(COUNTIFS(Drafts!$A$2:$A$251,C14,Drafts!$E$2:$E$251,"&lt;&gt;Adopted",Drafts!$E$2:$E$251,"&lt;&gt;Withdrawn")&gt;0,"Yes","No"))</f>
        <v/>
      </c>
      <c r="I14" s="46" t="str">
        <f aca="false">IF(C14="","",IF(G14&lt;&gt;"Waiting",G14,IF(H14="Yes","● Ready to pick up","Waiting")))</f>
        <v/>
      </c>
      <c r="J14" s="46"/>
      <c r="K14" s="46"/>
    </row>
    <row r="15" customFormat="false" ht="15" hidden="false" customHeight="false" outlineLevel="0" collapsed="false">
      <c r="A15" s="46" t="s">
        <v>2864</v>
      </c>
      <c r="B15" s="46"/>
      <c r="C15" s="46"/>
      <c r="D15" s="46"/>
      <c r="E15" s="46"/>
      <c r="F15" s="46"/>
      <c r="G15" s="46"/>
      <c r="H15" s="46" t="str">
        <f aca="false">IF(C15="","",IF(COUNTIFS(Drafts!$A$2:$A$251,C15,Drafts!$E$2:$E$251,"&lt;&gt;Adopted",Drafts!$E$2:$E$251,"&lt;&gt;Withdrawn")&gt;0,"Yes","No"))</f>
        <v/>
      </c>
      <c r="I15" s="46" t="str">
        <f aca="false">IF(C15="","",IF(G15&lt;&gt;"Waiting",G15,IF(H15="Yes","● Ready to pick up","Waiting")))</f>
        <v/>
      </c>
      <c r="J15" s="46"/>
      <c r="K15" s="46"/>
    </row>
    <row r="16" customFormat="false" ht="15" hidden="false" customHeight="false" outlineLevel="0" collapsed="false">
      <c r="A16" s="46" t="s">
        <v>2865</v>
      </c>
      <c r="B16" s="46"/>
      <c r="C16" s="46"/>
      <c r="D16" s="46"/>
      <c r="E16" s="46"/>
      <c r="F16" s="46"/>
      <c r="G16" s="46"/>
      <c r="H16" s="46" t="str">
        <f aca="false">IF(C16="","",IF(COUNTIFS(Drafts!$A$2:$A$251,C16,Drafts!$E$2:$E$251,"&lt;&gt;Adopted",Drafts!$E$2:$E$251,"&lt;&gt;Withdrawn")&gt;0,"Yes","No"))</f>
        <v/>
      </c>
      <c r="I16" s="46" t="str">
        <f aca="false">IF(C16="","",IF(G16&lt;&gt;"Waiting",G16,IF(H16="Yes","● Ready to pick up","Waiting")))</f>
        <v/>
      </c>
      <c r="J16" s="46"/>
      <c r="K16" s="46"/>
    </row>
    <row r="17" customFormat="false" ht="15" hidden="false" customHeight="false" outlineLevel="0" collapsed="false">
      <c r="A17" s="46" t="s">
        <v>2866</v>
      </c>
      <c r="B17" s="46"/>
      <c r="C17" s="46"/>
      <c r="D17" s="46"/>
      <c r="E17" s="46"/>
      <c r="F17" s="46"/>
      <c r="G17" s="46"/>
      <c r="H17" s="46" t="str">
        <f aca="false">IF(C17="","",IF(COUNTIFS(Drafts!$A$2:$A$251,C17,Drafts!$E$2:$E$251,"&lt;&gt;Adopted",Drafts!$E$2:$E$251,"&lt;&gt;Withdrawn")&gt;0,"Yes","No"))</f>
        <v/>
      </c>
      <c r="I17" s="46" t="str">
        <f aca="false">IF(C17="","",IF(G17&lt;&gt;"Waiting",G17,IF(H17="Yes","● Ready to pick up","Waiting")))</f>
        <v/>
      </c>
      <c r="J17" s="46"/>
      <c r="K17" s="46"/>
    </row>
    <row r="18" customFormat="false" ht="15" hidden="false" customHeight="false" outlineLevel="0" collapsed="false">
      <c r="A18" s="46" t="s">
        <v>2867</v>
      </c>
      <c r="B18" s="46"/>
      <c r="C18" s="46"/>
      <c r="D18" s="46"/>
      <c r="E18" s="46"/>
      <c r="F18" s="46"/>
      <c r="G18" s="46"/>
      <c r="H18" s="46" t="str">
        <f aca="false">IF(C18="","",IF(COUNTIFS(Drafts!$A$2:$A$251,C18,Drafts!$E$2:$E$251,"&lt;&gt;Adopted",Drafts!$E$2:$E$251,"&lt;&gt;Withdrawn")&gt;0,"Yes","No"))</f>
        <v/>
      </c>
      <c r="I18" s="46" t="str">
        <f aca="false">IF(C18="","",IF(G18&lt;&gt;"Waiting",G18,IF(H18="Yes","● Ready to pick up","Waiting")))</f>
        <v/>
      </c>
      <c r="J18" s="46"/>
      <c r="K18" s="46"/>
    </row>
    <row r="19" customFormat="false" ht="15" hidden="false" customHeight="false" outlineLevel="0" collapsed="false">
      <c r="A19" s="46" t="s">
        <v>2868</v>
      </c>
      <c r="B19" s="46"/>
      <c r="C19" s="46"/>
      <c r="D19" s="46"/>
      <c r="E19" s="46"/>
      <c r="F19" s="46"/>
      <c r="G19" s="46"/>
      <c r="H19" s="46" t="str">
        <f aca="false">IF(C19="","",IF(COUNTIFS(Drafts!$A$2:$A$251,C19,Drafts!$E$2:$E$251,"&lt;&gt;Adopted",Drafts!$E$2:$E$251,"&lt;&gt;Withdrawn")&gt;0,"Yes","No"))</f>
        <v/>
      </c>
      <c r="I19" s="46" t="str">
        <f aca="false">IF(C19="","",IF(G19&lt;&gt;"Waiting",G19,IF(H19="Yes","● Ready to pick up","Waiting")))</f>
        <v/>
      </c>
      <c r="J19" s="46"/>
      <c r="K19" s="46"/>
    </row>
    <row r="20" customFormat="false" ht="15" hidden="false" customHeight="false" outlineLevel="0" collapsed="false">
      <c r="A20" s="46" t="s">
        <v>2869</v>
      </c>
      <c r="B20" s="46"/>
      <c r="C20" s="46"/>
      <c r="D20" s="46"/>
      <c r="E20" s="46"/>
      <c r="F20" s="46"/>
      <c r="G20" s="46"/>
      <c r="H20" s="46" t="str">
        <f aca="false">IF(C20="","",IF(COUNTIFS(Drafts!$A$2:$A$251,C20,Drafts!$E$2:$E$251,"&lt;&gt;Adopted",Drafts!$E$2:$E$251,"&lt;&gt;Withdrawn")&gt;0,"Yes","No"))</f>
        <v/>
      </c>
      <c r="I20" s="46" t="str">
        <f aca="false">IF(C20="","",IF(G20&lt;&gt;"Waiting",G20,IF(H20="Yes","● Ready to pick up","Waiting")))</f>
        <v/>
      </c>
      <c r="J20" s="46"/>
      <c r="K20" s="46"/>
    </row>
    <row r="21" customFormat="false" ht="15" hidden="false" customHeight="false" outlineLevel="0" collapsed="false">
      <c r="A21" s="46" t="s">
        <v>2870</v>
      </c>
      <c r="B21" s="46"/>
      <c r="C21" s="46"/>
      <c r="D21" s="46"/>
      <c r="E21" s="46"/>
      <c r="F21" s="46"/>
      <c r="G21" s="46"/>
      <c r="H21" s="46" t="str">
        <f aca="false">IF(C21="","",IF(COUNTIFS(Drafts!$A$2:$A$251,C21,Drafts!$E$2:$E$251,"&lt;&gt;Adopted",Drafts!$E$2:$E$251,"&lt;&gt;Withdrawn")&gt;0,"Yes","No"))</f>
        <v/>
      </c>
      <c r="I21" s="46" t="str">
        <f aca="false">IF(C21="","",IF(G21&lt;&gt;"Waiting",G21,IF(H21="Yes","● Ready to pick up","Waiting")))</f>
        <v/>
      </c>
      <c r="J21" s="46"/>
      <c r="K21" s="46"/>
    </row>
    <row r="22" customFormat="false" ht="15" hidden="false" customHeight="false" outlineLevel="0" collapsed="false">
      <c r="A22" s="46" t="s">
        <v>2871</v>
      </c>
      <c r="B22" s="46"/>
      <c r="C22" s="46"/>
      <c r="D22" s="46"/>
      <c r="E22" s="46"/>
      <c r="F22" s="46"/>
      <c r="G22" s="46"/>
      <c r="H22" s="46" t="str">
        <f aca="false">IF(C22="","",IF(COUNTIFS(Drafts!$A$2:$A$251,C22,Drafts!$E$2:$E$251,"&lt;&gt;Adopted",Drafts!$E$2:$E$251,"&lt;&gt;Withdrawn")&gt;0,"Yes","No"))</f>
        <v/>
      </c>
      <c r="I22" s="46" t="str">
        <f aca="false">IF(C22="","",IF(G22&lt;&gt;"Waiting",G22,IF(H22="Yes","● Ready to pick up","Waiting")))</f>
        <v/>
      </c>
      <c r="J22" s="46"/>
      <c r="K22" s="46"/>
    </row>
    <row r="23" customFormat="false" ht="15" hidden="false" customHeight="false" outlineLevel="0" collapsed="false">
      <c r="A23" s="46" t="s">
        <v>2872</v>
      </c>
      <c r="B23" s="46"/>
      <c r="C23" s="46"/>
      <c r="D23" s="46"/>
      <c r="E23" s="46"/>
      <c r="F23" s="46"/>
      <c r="G23" s="46"/>
      <c r="H23" s="46" t="str">
        <f aca="false">IF(C23="","",IF(COUNTIFS(Drafts!$A$2:$A$251,C23,Drafts!$E$2:$E$251,"&lt;&gt;Adopted",Drafts!$E$2:$E$251,"&lt;&gt;Withdrawn")&gt;0,"Yes","No"))</f>
        <v/>
      </c>
      <c r="I23" s="46" t="str">
        <f aca="false">IF(C23="","",IF(G23&lt;&gt;"Waiting",G23,IF(H23="Yes","● Ready to pick up","Waiting")))</f>
        <v/>
      </c>
      <c r="J23" s="46"/>
      <c r="K23" s="46"/>
    </row>
    <row r="24" customFormat="false" ht="15" hidden="false" customHeight="false" outlineLevel="0" collapsed="false">
      <c r="A24" s="46" t="s">
        <v>2873</v>
      </c>
      <c r="B24" s="46"/>
      <c r="C24" s="46"/>
      <c r="D24" s="46"/>
      <c r="E24" s="46"/>
      <c r="F24" s="46"/>
      <c r="G24" s="46"/>
      <c r="H24" s="46" t="str">
        <f aca="false">IF(C24="","",IF(COUNTIFS(Drafts!$A$2:$A$251,C24,Drafts!$E$2:$E$251,"&lt;&gt;Adopted",Drafts!$E$2:$E$251,"&lt;&gt;Withdrawn")&gt;0,"Yes","No"))</f>
        <v/>
      </c>
      <c r="I24" s="46" t="str">
        <f aca="false">IF(C24="","",IF(G24&lt;&gt;"Waiting",G24,IF(H24="Yes","● Ready to pick up","Waiting")))</f>
        <v/>
      </c>
      <c r="J24" s="46"/>
      <c r="K24" s="46"/>
    </row>
    <row r="25" customFormat="false" ht="15" hidden="false" customHeight="false" outlineLevel="0" collapsed="false">
      <c r="A25" s="46" t="s">
        <v>2874</v>
      </c>
      <c r="B25" s="46"/>
      <c r="C25" s="46"/>
      <c r="D25" s="46"/>
      <c r="E25" s="46"/>
      <c r="F25" s="46"/>
      <c r="G25" s="46"/>
      <c r="H25" s="46" t="str">
        <f aca="false">IF(C25="","",IF(COUNTIFS(Drafts!$A$2:$A$251,C25,Drafts!$E$2:$E$251,"&lt;&gt;Adopted",Drafts!$E$2:$E$251,"&lt;&gt;Withdrawn")&gt;0,"Yes","No"))</f>
        <v/>
      </c>
      <c r="I25" s="46" t="str">
        <f aca="false">IF(C25="","",IF(G25&lt;&gt;"Waiting",G25,IF(H25="Yes","● Ready to pick up","Waiting")))</f>
        <v/>
      </c>
      <c r="J25" s="46"/>
      <c r="K25" s="46"/>
    </row>
    <row r="26" customFormat="false" ht="15" hidden="false" customHeight="false" outlineLevel="0" collapsed="false">
      <c r="A26" s="46" t="s">
        <v>2875</v>
      </c>
      <c r="B26" s="46"/>
      <c r="C26" s="46"/>
      <c r="D26" s="46"/>
      <c r="E26" s="46"/>
      <c r="F26" s="46"/>
      <c r="G26" s="46"/>
      <c r="H26" s="46" t="str">
        <f aca="false">IF(C26="","",IF(COUNTIFS(Drafts!$A$2:$A$251,C26,Drafts!$E$2:$E$251,"&lt;&gt;Adopted",Drafts!$E$2:$E$251,"&lt;&gt;Withdrawn")&gt;0,"Yes","No"))</f>
        <v/>
      </c>
      <c r="I26" s="46" t="str">
        <f aca="false">IF(C26="","",IF(G26&lt;&gt;"Waiting",G26,IF(H26="Yes","● Ready to pick up","Waiting")))</f>
        <v/>
      </c>
      <c r="J26" s="46"/>
      <c r="K26" s="46"/>
    </row>
    <row r="27" customFormat="false" ht="15" hidden="false" customHeight="false" outlineLevel="0" collapsed="false">
      <c r="A27" s="46" t="s">
        <v>2876</v>
      </c>
      <c r="B27" s="46"/>
      <c r="C27" s="46"/>
      <c r="D27" s="46"/>
      <c r="E27" s="46"/>
      <c r="F27" s="46"/>
      <c r="G27" s="46"/>
      <c r="H27" s="46" t="str">
        <f aca="false">IF(C27="","",IF(COUNTIFS(Drafts!$A$2:$A$251,C27,Drafts!$E$2:$E$251,"&lt;&gt;Adopted",Drafts!$E$2:$E$251,"&lt;&gt;Withdrawn")&gt;0,"Yes","No"))</f>
        <v/>
      </c>
      <c r="I27" s="46" t="str">
        <f aca="false">IF(C27="","",IF(G27&lt;&gt;"Waiting",G27,IF(H27="Yes","● Ready to pick up","Waiting")))</f>
        <v/>
      </c>
      <c r="J27" s="46"/>
      <c r="K27" s="46"/>
    </row>
    <row r="28" customFormat="false" ht="15" hidden="false" customHeight="false" outlineLevel="0" collapsed="false">
      <c r="A28" s="46" t="s">
        <v>2877</v>
      </c>
      <c r="B28" s="46"/>
      <c r="C28" s="46"/>
      <c r="D28" s="46"/>
      <c r="E28" s="46"/>
      <c r="F28" s="46"/>
      <c r="G28" s="46"/>
      <c r="H28" s="46" t="str">
        <f aca="false">IF(C28="","",IF(COUNTIFS(Drafts!$A$2:$A$251,C28,Drafts!$E$2:$E$251,"&lt;&gt;Adopted",Drafts!$E$2:$E$251,"&lt;&gt;Withdrawn")&gt;0,"Yes","No"))</f>
        <v/>
      </c>
      <c r="I28" s="46" t="str">
        <f aca="false">IF(C28="","",IF(G28&lt;&gt;"Waiting",G28,IF(H28="Yes","● Ready to pick up","Waiting")))</f>
        <v/>
      </c>
      <c r="J28" s="46"/>
      <c r="K28" s="46"/>
    </row>
    <row r="29" customFormat="false" ht="15" hidden="false" customHeight="false" outlineLevel="0" collapsed="false">
      <c r="A29" s="46" t="s">
        <v>2878</v>
      </c>
      <c r="B29" s="46"/>
      <c r="C29" s="46"/>
      <c r="D29" s="46"/>
      <c r="E29" s="46"/>
      <c r="F29" s="46"/>
      <c r="G29" s="46"/>
      <c r="H29" s="46" t="str">
        <f aca="false">IF(C29="","",IF(COUNTIFS(Drafts!$A$2:$A$251,C29,Drafts!$E$2:$E$251,"&lt;&gt;Adopted",Drafts!$E$2:$E$251,"&lt;&gt;Withdrawn")&gt;0,"Yes","No"))</f>
        <v/>
      </c>
      <c r="I29" s="46" t="str">
        <f aca="false">IF(C29="","",IF(G29&lt;&gt;"Waiting",G29,IF(H29="Yes","● Ready to pick up","Waiting")))</f>
        <v/>
      </c>
      <c r="J29" s="46"/>
      <c r="K29" s="46"/>
    </row>
    <row r="30" customFormat="false" ht="15" hidden="false" customHeight="false" outlineLevel="0" collapsed="false">
      <c r="A30" s="46" t="s">
        <v>2879</v>
      </c>
      <c r="B30" s="46"/>
      <c r="C30" s="46"/>
      <c r="D30" s="46"/>
      <c r="E30" s="46"/>
      <c r="F30" s="46"/>
      <c r="G30" s="46"/>
      <c r="H30" s="46" t="str">
        <f aca="false">IF(C30="","",IF(COUNTIFS(Drafts!$A$2:$A$251,C30,Drafts!$E$2:$E$251,"&lt;&gt;Adopted",Drafts!$E$2:$E$251,"&lt;&gt;Withdrawn")&gt;0,"Yes","No"))</f>
        <v/>
      </c>
      <c r="I30" s="46" t="str">
        <f aca="false">IF(C30="","",IF(G30&lt;&gt;"Waiting",G30,IF(H30="Yes","● Ready to pick up","Waiting")))</f>
        <v/>
      </c>
      <c r="J30" s="46"/>
      <c r="K30" s="46"/>
    </row>
    <row r="31" customFormat="false" ht="15" hidden="false" customHeight="false" outlineLevel="0" collapsed="false">
      <c r="A31" s="46" t="s">
        <v>2880</v>
      </c>
      <c r="B31" s="46"/>
      <c r="C31" s="46"/>
      <c r="D31" s="46"/>
      <c r="E31" s="46"/>
      <c r="F31" s="46"/>
      <c r="G31" s="46"/>
      <c r="H31" s="46" t="str">
        <f aca="false">IF(C31="","",IF(COUNTIFS(Drafts!$A$2:$A$251,C31,Drafts!$E$2:$E$251,"&lt;&gt;Adopted",Drafts!$E$2:$E$251,"&lt;&gt;Withdrawn")&gt;0,"Yes","No"))</f>
        <v/>
      </c>
      <c r="I31" s="46" t="str">
        <f aca="false">IF(C31="","",IF(G31&lt;&gt;"Waiting",G31,IF(H31="Yes","● Ready to pick up","Waiting")))</f>
        <v/>
      </c>
      <c r="J31" s="46"/>
      <c r="K31" s="46"/>
    </row>
    <row r="32" customFormat="false" ht="15" hidden="false" customHeight="false" outlineLevel="0" collapsed="false">
      <c r="A32" s="46" t="s">
        <v>2881</v>
      </c>
      <c r="B32" s="46"/>
      <c r="C32" s="46"/>
      <c r="D32" s="46"/>
      <c r="E32" s="46"/>
      <c r="F32" s="46"/>
      <c r="G32" s="46"/>
      <c r="H32" s="46" t="str">
        <f aca="false">IF(C32="","",IF(COUNTIFS(Drafts!$A$2:$A$251,C32,Drafts!$E$2:$E$251,"&lt;&gt;Adopted",Drafts!$E$2:$E$251,"&lt;&gt;Withdrawn")&gt;0,"Yes","No"))</f>
        <v/>
      </c>
      <c r="I32" s="46" t="str">
        <f aca="false">IF(C32="","",IF(G32&lt;&gt;"Waiting",G32,IF(H32="Yes","● Ready to pick up","Waiting")))</f>
        <v/>
      </c>
      <c r="J32" s="46"/>
      <c r="K32" s="46"/>
    </row>
    <row r="33" customFormat="false" ht="15" hidden="false" customHeight="false" outlineLevel="0" collapsed="false">
      <c r="A33" s="46" t="s">
        <v>2882</v>
      </c>
      <c r="B33" s="46"/>
      <c r="C33" s="46"/>
      <c r="D33" s="46"/>
      <c r="E33" s="46"/>
      <c r="F33" s="46"/>
      <c r="G33" s="46"/>
      <c r="H33" s="46" t="str">
        <f aca="false">IF(C33="","",IF(COUNTIFS(Drafts!$A$2:$A$251,C33,Drafts!$E$2:$E$251,"&lt;&gt;Adopted",Drafts!$E$2:$E$251,"&lt;&gt;Withdrawn")&gt;0,"Yes","No"))</f>
        <v/>
      </c>
      <c r="I33" s="46" t="str">
        <f aca="false">IF(C33="","",IF(G33&lt;&gt;"Waiting",G33,IF(H33="Yes","● Ready to pick up","Waiting")))</f>
        <v/>
      </c>
      <c r="J33" s="46"/>
      <c r="K33" s="46"/>
    </row>
    <row r="34" customFormat="false" ht="15" hidden="false" customHeight="false" outlineLevel="0" collapsed="false">
      <c r="A34" s="46" t="s">
        <v>2883</v>
      </c>
      <c r="B34" s="46"/>
      <c r="C34" s="46"/>
      <c r="D34" s="46"/>
      <c r="E34" s="46"/>
      <c r="F34" s="46"/>
      <c r="G34" s="46"/>
      <c r="H34" s="46" t="str">
        <f aca="false">IF(C34="","",IF(COUNTIFS(Drafts!$A$2:$A$251,C34,Drafts!$E$2:$E$251,"&lt;&gt;Adopted",Drafts!$E$2:$E$251,"&lt;&gt;Withdrawn")&gt;0,"Yes","No"))</f>
        <v/>
      </c>
      <c r="I34" s="46" t="str">
        <f aca="false">IF(C34="","",IF(G34&lt;&gt;"Waiting",G34,IF(H34="Yes","● Ready to pick up","Waiting")))</f>
        <v/>
      </c>
      <c r="J34" s="46"/>
      <c r="K34" s="46"/>
    </row>
    <row r="35" customFormat="false" ht="15" hidden="false" customHeight="false" outlineLevel="0" collapsed="false">
      <c r="A35" s="46" t="s">
        <v>2884</v>
      </c>
      <c r="B35" s="46"/>
      <c r="C35" s="46"/>
      <c r="D35" s="46"/>
      <c r="E35" s="46"/>
      <c r="F35" s="46"/>
      <c r="G35" s="46"/>
      <c r="H35" s="46" t="str">
        <f aca="false">IF(C35="","",IF(COUNTIFS(Drafts!$A$2:$A$251,C35,Drafts!$E$2:$E$251,"&lt;&gt;Adopted",Drafts!$E$2:$E$251,"&lt;&gt;Withdrawn")&gt;0,"Yes","No"))</f>
        <v/>
      </c>
      <c r="I35" s="46" t="str">
        <f aca="false">IF(C35="","",IF(G35&lt;&gt;"Waiting",G35,IF(H35="Yes","● Ready to pick up","Waiting")))</f>
        <v/>
      </c>
      <c r="J35" s="46"/>
      <c r="K35" s="46"/>
    </row>
    <row r="36" customFormat="false" ht="15" hidden="false" customHeight="false" outlineLevel="0" collapsed="false">
      <c r="A36" s="46" t="s">
        <v>2885</v>
      </c>
      <c r="B36" s="46"/>
      <c r="C36" s="46"/>
      <c r="D36" s="46"/>
      <c r="E36" s="46"/>
      <c r="F36" s="46"/>
      <c r="G36" s="46"/>
      <c r="H36" s="46" t="str">
        <f aca="false">IF(C36="","",IF(COUNTIFS(Drafts!$A$2:$A$251,C36,Drafts!$E$2:$E$251,"&lt;&gt;Adopted",Drafts!$E$2:$E$251,"&lt;&gt;Withdrawn")&gt;0,"Yes","No"))</f>
        <v/>
      </c>
      <c r="I36" s="46" t="str">
        <f aca="false">IF(C36="","",IF(G36&lt;&gt;"Waiting",G36,IF(H36="Yes","● Ready to pick up","Waiting")))</f>
        <v/>
      </c>
      <c r="J36" s="46"/>
      <c r="K36" s="46"/>
    </row>
    <row r="37" customFormat="false" ht="15" hidden="false" customHeight="false" outlineLevel="0" collapsed="false">
      <c r="A37" s="46" t="s">
        <v>2886</v>
      </c>
      <c r="B37" s="46"/>
      <c r="C37" s="46"/>
      <c r="D37" s="46"/>
      <c r="E37" s="46"/>
      <c r="F37" s="46"/>
      <c r="G37" s="46"/>
      <c r="H37" s="46" t="str">
        <f aca="false">IF(C37="","",IF(COUNTIFS(Drafts!$A$2:$A$251,C37,Drafts!$E$2:$E$251,"&lt;&gt;Adopted",Drafts!$E$2:$E$251,"&lt;&gt;Withdrawn")&gt;0,"Yes","No"))</f>
        <v/>
      </c>
      <c r="I37" s="46" t="str">
        <f aca="false">IF(C37="","",IF(G37&lt;&gt;"Waiting",G37,IF(H37="Yes","● Ready to pick up","Waiting")))</f>
        <v/>
      </c>
      <c r="J37" s="46"/>
      <c r="K37" s="46"/>
    </row>
    <row r="38" customFormat="false" ht="15" hidden="false" customHeight="false" outlineLevel="0" collapsed="false">
      <c r="A38" s="46" t="s">
        <v>2887</v>
      </c>
      <c r="B38" s="46"/>
      <c r="C38" s="46"/>
      <c r="D38" s="46"/>
      <c r="E38" s="46"/>
      <c r="F38" s="46"/>
      <c r="G38" s="46"/>
      <c r="H38" s="46" t="str">
        <f aca="false">IF(C38="","",IF(COUNTIFS(Drafts!$A$2:$A$251,C38,Drafts!$E$2:$E$251,"&lt;&gt;Adopted",Drafts!$E$2:$E$251,"&lt;&gt;Withdrawn")&gt;0,"Yes","No"))</f>
        <v/>
      </c>
      <c r="I38" s="46" t="str">
        <f aca="false">IF(C38="","",IF(G38&lt;&gt;"Waiting",G38,IF(H38="Yes","● Ready to pick up","Waiting")))</f>
        <v/>
      </c>
      <c r="J38" s="46"/>
      <c r="K38" s="46"/>
    </row>
    <row r="39" customFormat="false" ht="15" hidden="false" customHeight="false" outlineLevel="0" collapsed="false">
      <c r="A39" s="46" t="s">
        <v>2888</v>
      </c>
      <c r="B39" s="46"/>
      <c r="C39" s="46"/>
      <c r="D39" s="46"/>
      <c r="E39" s="46"/>
      <c r="F39" s="46"/>
      <c r="G39" s="46"/>
      <c r="H39" s="46" t="str">
        <f aca="false">IF(C39="","",IF(COUNTIFS(Drafts!$A$2:$A$251,C39,Drafts!$E$2:$E$251,"&lt;&gt;Adopted",Drafts!$E$2:$E$251,"&lt;&gt;Withdrawn")&gt;0,"Yes","No"))</f>
        <v/>
      </c>
      <c r="I39" s="46" t="str">
        <f aca="false">IF(C39="","",IF(G39&lt;&gt;"Waiting",G39,IF(H39="Yes","● Ready to pick up","Waiting")))</f>
        <v/>
      </c>
      <c r="J39" s="46"/>
      <c r="K39" s="46"/>
    </row>
    <row r="40" customFormat="false" ht="15" hidden="false" customHeight="false" outlineLevel="0" collapsed="false">
      <c r="A40" s="46" t="s">
        <v>2889</v>
      </c>
      <c r="B40" s="46"/>
      <c r="C40" s="46"/>
      <c r="D40" s="46"/>
      <c r="E40" s="46"/>
      <c r="F40" s="46"/>
      <c r="G40" s="46"/>
      <c r="H40" s="46" t="str">
        <f aca="false">IF(C40="","",IF(COUNTIFS(Drafts!$A$2:$A$251,C40,Drafts!$E$2:$E$251,"&lt;&gt;Adopted",Drafts!$E$2:$E$251,"&lt;&gt;Withdrawn")&gt;0,"Yes","No"))</f>
        <v/>
      </c>
      <c r="I40" s="46" t="str">
        <f aca="false">IF(C40="","",IF(G40&lt;&gt;"Waiting",G40,IF(H40="Yes","● Ready to pick up","Waiting")))</f>
        <v/>
      </c>
      <c r="J40" s="46"/>
      <c r="K40" s="46"/>
    </row>
    <row r="41" customFormat="false" ht="15" hidden="false" customHeight="false" outlineLevel="0" collapsed="false">
      <c r="A41" s="46" t="s">
        <v>2890</v>
      </c>
      <c r="B41" s="46"/>
      <c r="C41" s="46"/>
      <c r="D41" s="46"/>
      <c r="E41" s="46"/>
      <c r="F41" s="46"/>
      <c r="G41" s="46"/>
      <c r="H41" s="46" t="str">
        <f aca="false">IF(C41="","",IF(COUNTIFS(Drafts!$A$2:$A$251,C41,Drafts!$E$2:$E$251,"&lt;&gt;Adopted",Drafts!$E$2:$E$251,"&lt;&gt;Withdrawn")&gt;0,"Yes","No"))</f>
        <v/>
      </c>
      <c r="I41" s="46" t="str">
        <f aca="false">IF(C41="","",IF(G41&lt;&gt;"Waiting",G41,IF(H41="Yes","● Ready to pick up","Waiting")))</f>
        <v/>
      </c>
      <c r="J41" s="46"/>
      <c r="K41" s="46"/>
    </row>
    <row r="42" customFormat="false" ht="15" hidden="false" customHeight="false" outlineLevel="0" collapsed="false">
      <c r="A42" s="46" t="s">
        <v>2891</v>
      </c>
      <c r="B42" s="46"/>
      <c r="C42" s="46"/>
      <c r="D42" s="46"/>
      <c r="E42" s="46"/>
      <c r="F42" s="46"/>
      <c r="G42" s="46"/>
      <c r="H42" s="46" t="str">
        <f aca="false">IF(C42="","",IF(COUNTIFS(Drafts!$A$2:$A$251,C42,Drafts!$E$2:$E$251,"&lt;&gt;Adopted",Drafts!$E$2:$E$251,"&lt;&gt;Withdrawn")&gt;0,"Yes","No"))</f>
        <v/>
      </c>
      <c r="I42" s="46" t="str">
        <f aca="false">IF(C42="","",IF(G42&lt;&gt;"Waiting",G42,IF(H42="Yes","● Ready to pick up","Waiting")))</f>
        <v/>
      </c>
      <c r="J42" s="46"/>
      <c r="K42" s="46"/>
    </row>
    <row r="43" customFormat="false" ht="15" hidden="false" customHeight="false" outlineLevel="0" collapsed="false">
      <c r="A43" s="46" t="s">
        <v>2892</v>
      </c>
      <c r="B43" s="46"/>
      <c r="C43" s="46"/>
      <c r="D43" s="46"/>
      <c r="E43" s="46"/>
      <c r="F43" s="46"/>
      <c r="G43" s="46"/>
      <c r="H43" s="46" t="str">
        <f aca="false">IF(C43="","",IF(COUNTIFS(Drafts!$A$2:$A$251,C43,Drafts!$E$2:$E$251,"&lt;&gt;Adopted",Drafts!$E$2:$E$251,"&lt;&gt;Withdrawn")&gt;0,"Yes","No"))</f>
        <v/>
      </c>
      <c r="I43" s="46" t="str">
        <f aca="false">IF(C43="","",IF(G43&lt;&gt;"Waiting",G43,IF(H43="Yes","● Ready to pick up","Waiting")))</f>
        <v/>
      </c>
      <c r="J43" s="46"/>
      <c r="K43" s="46"/>
    </row>
    <row r="44" customFormat="false" ht="15" hidden="false" customHeight="false" outlineLevel="0" collapsed="false">
      <c r="A44" s="46" t="s">
        <v>2893</v>
      </c>
      <c r="B44" s="46"/>
      <c r="C44" s="46"/>
      <c r="D44" s="46"/>
      <c r="E44" s="46"/>
      <c r="F44" s="46"/>
      <c r="G44" s="46"/>
      <c r="H44" s="46" t="str">
        <f aca="false">IF(C44="","",IF(COUNTIFS(Drafts!$A$2:$A$251,C44,Drafts!$E$2:$E$251,"&lt;&gt;Adopted",Drafts!$E$2:$E$251,"&lt;&gt;Withdrawn")&gt;0,"Yes","No"))</f>
        <v/>
      </c>
      <c r="I44" s="46" t="str">
        <f aca="false">IF(C44="","",IF(G44&lt;&gt;"Waiting",G44,IF(H44="Yes","● Ready to pick up","Waiting")))</f>
        <v/>
      </c>
      <c r="J44" s="46"/>
      <c r="K44" s="46"/>
    </row>
    <row r="45" customFormat="false" ht="15" hidden="false" customHeight="false" outlineLevel="0" collapsed="false">
      <c r="A45" s="46" t="s">
        <v>2894</v>
      </c>
      <c r="B45" s="46"/>
      <c r="C45" s="46"/>
      <c r="D45" s="46"/>
      <c r="E45" s="46"/>
      <c r="F45" s="46"/>
      <c r="G45" s="46"/>
      <c r="H45" s="46" t="str">
        <f aca="false">IF(C45="","",IF(COUNTIFS(Drafts!$A$2:$A$251,C45,Drafts!$E$2:$E$251,"&lt;&gt;Adopted",Drafts!$E$2:$E$251,"&lt;&gt;Withdrawn")&gt;0,"Yes","No"))</f>
        <v/>
      </c>
      <c r="I45" s="46" t="str">
        <f aca="false">IF(C45="","",IF(G45&lt;&gt;"Waiting",G45,IF(H45="Yes","● Ready to pick up","Waiting")))</f>
        <v/>
      </c>
      <c r="J45" s="46"/>
      <c r="K45" s="46"/>
    </row>
    <row r="46" customFormat="false" ht="15" hidden="false" customHeight="false" outlineLevel="0" collapsed="false">
      <c r="A46" s="46" t="s">
        <v>2895</v>
      </c>
      <c r="B46" s="46"/>
      <c r="C46" s="46"/>
      <c r="D46" s="46"/>
      <c r="E46" s="46"/>
      <c r="F46" s="46"/>
      <c r="G46" s="46"/>
      <c r="H46" s="46" t="str">
        <f aca="false">IF(C46="","",IF(COUNTIFS(Drafts!$A$2:$A$251,C46,Drafts!$E$2:$E$251,"&lt;&gt;Adopted",Drafts!$E$2:$E$251,"&lt;&gt;Withdrawn")&gt;0,"Yes","No"))</f>
        <v/>
      </c>
      <c r="I46" s="46" t="str">
        <f aca="false">IF(C46="","",IF(G46&lt;&gt;"Waiting",G46,IF(H46="Yes","● Ready to pick up","Waiting")))</f>
        <v/>
      </c>
      <c r="J46" s="46"/>
      <c r="K46" s="46"/>
    </row>
    <row r="47" customFormat="false" ht="15" hidden="false" customHeight="false" outlineLevel="0" collapsed="false">
      <c r="A47" s="46" t="s">
        <v>2896</v>
      </c>
      <c r="B47" s="46"/>
      <c r="C47" s="46"/>
      <c r="D47" s="46"/>
      <c r="E47" s="46"/>
      <c r="F47" s="46"/>
      <c r="G47" s="46"/>
      <c r="H47" s="46" t="str">
        <f aca="false">IF(C47="","",IF(COUNTIFS(Drafts!$A$2:$A$251,C47,Drafts!$E$2:$E$251,"&lt;&gt;Adopted",Drafts!$E$2:$E$251,"&lt;&gt;Withdrawn")&gt;0,"Yes","No"))</f>
        <v/>
      </c>
      <c r="I47" s="46" t="str">
        <f aca="false">IF(C47="","",IF(G47&lt;&gt;"Waiting",G47,IF(H47="Yes","● Ready to pick up","Waiting")))</f>
        <v/>
      </c>
      <c r="J47" s="46"/>
      <c r="K47" s="46"/>
    </row>
    <row r="48" customFormat="false" ht="15" hidden="false" customHeight="false" outlineLevel="0" collapsed="false">
      <c r="A48" s="46" t="s">
        <v>2897</v>
      </c>
      <c r="B48" s="46"/>
      <c r="C48" s="46"/>
      <c r="D48" s="46"/>
      <c r="E48" s="46"/>
      <c r="F48" s="46"/>
      <c r="G48" s="46"/>
      <c r="H48" s="46" t="str">
        <f aca="false">IF(C48="","",IF(COUNTIFS(Drafts!$A$2:$A$251,C48,Drafts!$E$2:$E$251,"&lt;&gt;Adopted",Drafts!$E$2:$E$251,"&lt;&gt;Withdrawn")&gt;0,"Yes","No"))</f>
        <v/>
      </c>
      <c r="I48" s="46" t="str">
        <f aca="false">IF(C48="","",IF(G48&lt;&gt;"Waiting",G48,IF(H48="Yes","● Ready to pick up","Waiting")))</f>
        <v/>
      </c>
      <c r="J48" s="46"/>
      <c r="K48" s="46"/>
    </row>
    <row r="49" customFormat="false" ht="15" hidden="false" customHeight="false" outlineLevel="0" collapsed="false">
      <c r="A49" s="46" t="s">
        <v>2898</v>
      </c>
      <c r="B49" s="46"/>
      <c r="C49" s="46"/>
      <c r="D49" s="46"/>
      <c r="E49" s="46"/>
      <c r="F49" s="46"/>
      <c r="G49" s="46"/>
      <c r="H49" s="46" t="str">
        <f aca="false">IF(C49="","",IF(COUNTIFS(Drafts!$A$2:$A$251,C49,Drafts!$E$2:$E$251,"&lt;&gt;Adopted",Drafts!$E$2:$E$251,"&lt;&gt;Withdrawn")&gt;0,"Yes","No"))</f>
        <v/>
      </c>
      <c r="I49" s="46" t="str">
        <f aca="false">IF(C49="","",IF(G49&lt;&gt;"Waiting",G49,IF(H49="Yes","● Ready to pick up","Waiting")))</f>
        <v/>
      </c>
      <c r="J49" s="46"/>
      <c r="K49" s="46"/>
    </row>
    <row r="50" customFormat="false" ht="15" hidden="false" customHeight="false" outlineLevel="0" collapsed="false">
      <c r="A50" s="46" t="s">
        <v>2899</v>
      </c>
      <c r="B50" s="46"/>
      <c r="C50" s="46"/>
      <c r="D50" s="46"/>
      <c r="E50" s="46"/>
      <c r="F50" s="46"/>
      <c r="G50" s="46"/>
      <c r="H50" s="46" t="str">
        <f aca="false">IF(C50="","",IF(COUNTIFS(Drafts!$A$2:$A$251,C50,Drafts!$E$2:$E$251,"&lt;&gt;Adopted",Drafts!$E$2:$E$251,"&lt;&gt;Withdrawn")&gt;0,"Yes","No"))</f>
        <v/>
      </c>
      <c r="I50" s="46" t="str">
        <f aca="false">IF(C50="","",IF(G50&lt;&gt;"Waiting",G50,IF(H50="Yes","● Ready to pick up","Waiting")))</f>
        <v/>
      </c>
      <c r="J50" s="46"/>
      <c r="K50" s="46"/>
    </row>
    <row r="51" customFormat="false" ht="15" hidden="false" customHeight="false" outlineLevel="0" collapsed="false">
      <c r="A51" s="46" t="s">
        <v>2900</v>
      </c>
      <c r="B51" s="46"/>
      <c r="C51" s="46"/>
      <c r="D51" s="46"/>
      <c r="E51" s="46"/>
      <c r="F51" s="46"/>
      <c r="G51" s="46"/>
      <c r="H51" s="46" t="str">
        <f aca="false">IF(C51="","",IF(COUNTIFS(Drafts!$A$2:$A$251,C51,Drafts!$E$2:$E$251,"&lt;&gt;Adopted",Drafts!$E$2:$E$251,"&lt;&gt;Withdrawn")&gt;0,"Yes","No"))</f>
        <v/>
      </c>
      <c r="I51" s="46" t="str">
        <f aca="false">IF(C51="","",IF(G51&lt;&gt;"Waiting",G51,IF(H51="Yes","● Ready to pick up","Waiting")))</f>
        <v/>
      </c>
      <c r="J51" s="46"/>
      <c r="K51" s="46"/>
    </row>
    <row r="52" customFormat="false" ht="15" hidden="false" customHeight="false" outlineLevel="0" collapsed="false">
      <c r="A52" s="46" t="s">
        <v>2901</v>
      </c>
      <c r="B52" s="46"/>
      <c r="C52" s="46"/>
      <c r="D52" s="46"/>
      <c r="E52" s="46"/>
      <c r="F52" s="46"/>
      <c r="G52" s="46"/>
      <c r="H52" s="46" t="str">
        <f aca="false">IF(C52="","",IF(COUNTIFS(Drafts!$A$2:$A$251,C52,Drafts!$E$2:$E$251,"&lt;&gt;Adopted",Drafts!$E$2:$E$251,"&lt;&gt;Withdrawn")&gt;0,"Yes","No"))</f>
        <v/>
      </c>
      <c r="I52" s="46" t="str">
        <f aca="false">IF(C52="","",IF(G52&lt;&gt;"Waiting",G52,IF(H52="Yes","● Ready to pick up","Waiting")))</f>
        <v/>
      </c>
      <c r="J52" s="46"/>
      <c r="K52" s="46"/>
    </row>
    <row r="53" customFormat="false" ht="15" hidden="false" customHeight="false" outlineLevel="0" collapsed="false">
      <c r="A53" s="46" t="s">
        <v>2902</v>
      </c>
      <c r="B53" s="46"/>
      <c r="C53" s="46"/>
      <c r="D53" s="46"/>
      <c r="E53" s="46"/>
      <c r="F53" s="46"/>
      <c r="G53" s="46"/>
      <c r="H53" s="46" t="str">
        <f aca="false">IF(C53="","",IF(COUNTIFS(Drafts!$A$2:$A$251,C53,Drafts!$E$2:$E$251,"&lt;&gt;Adopted",Drafts!$E$2:$E$251,"&lt;&gt;Withdrawn")&gt;0,"Yes","No"))</f>
        <v/>
      </c>
      <c r="I53" s="46" t="str">
        <f aca="false">IF(C53="","",IF(G53&lt;&gt;"Waiting",G53,IF(H53="Yes","● Ready to pick up","Waiting")))</f>
        <v/>
      </c>
      <c r="J53" s="46"/>
      <c r="K53" s="46"/>
    </row>
    <row r="54" customFormat="false" ht="15" hidden="false" customHeight="false" outlineLevel="0" collapsed="false">
      <c r="A54" s="46" t="s">
        <v>2903</v>
      </c>
      <c r="B54" s="46"/>
      <c r="C54" s="46"/>
      <c r="D54" s="46"/>
      <c r="E54" s="46"/>
      <c r="F54" s="46"/>
      <c r="G54" s="46"/>
      <c r="H54" s="46" t="str">
        <f aca="false">IF(C54="","",IF(COUNTIFS(Drafts!$A$2:$A$251,C54,Drafts!$E$2:$E$251,"&lt;&gt;Adopted",Drafts!$E$2:$E$251,"&lt;&gt;Withdrawn")&gt;0,"Yes","No"))</f>
        <v/>
      </c>
      <c r="I54" s="46" t="str">
        <f aca="false">IF(C54="","",IF(G54&lt;&gt;"Waiting",G54,IF(H54="Yes","● Ready to pick up","Waiting")))</f>
        <v/>
      </c>
      <c r="J54" s="46"/>
      <c r="K54" s="46"/>
    </row>
    <row r="55" customFormat="false" ht="15" hidden="false" customHeight="false" outlineLevel="0" collapsed="false">
      <c r="A55" s="46" t="s">
        <v>2904</v>
      </c>
      <c r="B55" s="46"/>
      <c r="C55" s="46"/>
      <c r="D55" s="46"/>
      <c r="E55" s="46"/>
      <c r="F55" s="46"/>
      <c r="G55" s="46"/>
      <c r="H55" s="46" t="str">
        <f aca="false">IF(C55="","",IF(COUNTIFS(Drafts!$A$2:$A$251,C55,Drafts!$E$2:$E$251,"&lt;&gt;Adopted",Drafts!$E$2:$E$251,"&lt;&gt;Withdrawn")&gt;0,"Yes","No"))</f>
        <v/>
      </c>
      <c r="I55" s="46" t="str">
        <f aca="false">IF(C55="","",IF(G55&lt;&gt;"Waiting",G55,IF(H55="Yes","● Ready to pick up","Waiting")))</f>
        <v/>
      </c>
      <c r="J55" s="46"/>
      <c r="K55" s="46"/>
    </row>
    <row r="56" customFormat="false" ht="15" hidden="false" customHeight="false" outlineLevel="0" collapsed="false">
      <c r="A56" s="46" t="s">
        <v>2905</v>
      </c>
      <c r="B56" s="46"/>
      <c r="C56" s="46"/>
      <c r="D56" s="46"/>
      <c r="E56" s="46"/>
      <c r="F56" s="46"/>
      <c r="G56" s="46"/>
      <c r="H56" s="46" t="str">
        <f aca="false">IF(C56="","",IF(COUNTIFS(Drafts!$A$2:$A$251,C56,Drafts!$E$2:$E$251,"&lt;&gt;Adopted",Drafts!$E$2:$E$251,"&lt;&gt;Withdrawn")&gt;0,"Yes","No"))</f>
        <v/>
      </c>
      <c r="I56" s="46" t="str">
        <f aca="false">IF(C56="","",IF(G56&lt;&gt;"Waiting",G56,IF(H56="Yes","● Ready to pick up","Waiting")))</f>
        <v/>
      </c>
      <c r="J56" s="46"/>
      <c r="K56" s="46"/>
    </row>
    <row r="57" customFormat="false" ht="15" hidden="false" customHeight="false" outlineLevel="0" collapsed="false">
      <c r="A57" s="46" t="s">
        <v>2906</v>
      </c>
      <c r="B57" s="46"/>
      <c r="C57" s="46"/>
      <c r="D57" s="46"/>
      <c r="E57" s="46"/>
      <c r="F57" s="46"/>
      <c r="G57" s="46"/>
      <c r="H57" s="46" t="str">
        <f aca="false">IF(C57="","",IF(COUNTIFS(Drafts!$A$2:$A$251,C57,Drafts!$E$2:$E$251,"&lt;&gt;Adopted",Drafts!$E$2:$E$251,"&lt;&gt;Withdrawn")&gt;0,"Yes","No"))</f>
        <v/>
      </c>
      <c r="I57" s="46" t="str">
        <f aca="false">IF(C57="","",IF(G57&lt;&gt;"Waiting",G57,IF(H57="Yes","● Ready to pick up","Waiting")))</f>
        <v/>
      </c>
      <c r="J57" s="46"/>
      <c r="K57" s="46"/>
    </row>
    <row r="58" customFormat="false" ht="15" hidden="false" customHeight="false" outlineLevel="0" collapsed="false">
      <c r="A58" s="46" t="s">
        <v>2907</v>
      </c>
      <c r="B58" s="46"/>
      <c r="C58" s="46"/>
      <c r="D58" s="46"/>
      <c r="E58" s="46"/>
      <c r="F58" s="46"/>
      <c r="G58" s="46"/>
      <c r="H58" s="46" t="str">
        <f aca="false">IF(C58="","",IF(COUNTIFS(Drafts!$A$2:$A$251,C58,Drafts!$E$2:$E$251,"&lt;&gt;Adopted",Drafts!$E$2:$E$251,"&lt;&gt;Withdrawn")&gt;0,"Yes","No"))</f>
        <v/>
      </c>
      <c r="I58" s="46" t="str">
        <f aca="false">IF(C58="","",IF(G58&lt;&gt;"Waiting",G58,IF(H58="Yes","● Ready to pick up","Waiting")))</f>
        <v/>
      </c>
      <c r="J58" s="46"/>
      <c r="K58" s="46"/>
    </row>
    <row r="59" customFormat="false" ht="15" hidden="false" customHeight="false" outlineLevel="0" collapsed="false">
      <c r="A59" s="46" t="s">
        <v>2908</v>
      </c>
      <c r="B59" s="46"/>
      <c r="C59" s="46"/>
      <c r="D59" s="46"/>
      <c r="E59" s="46"/>
      <c r="F59" s="46"/>
      <c r="G59" s="46"/>
      <c r="H59" s="46" t="str">
        <f aca="false">IF(C59="","",IF(COUNTIFS(Drafts!$A$2:$A$251,C59,Drafts!$E$2:$E$251,"&lt;&gt;Adopted",Drafts!$E$2:$E$251,"&lt;&gt;Withdrawn")&gt;0,"Yes","No"))</f>
        <v/>
      </c>
      <c r="I59" s="46" t="str">
        <f aca="false">IF(C59="","",IF(G59&lt;&gt;"Waiting",G59,IF(H59="Yes","● Ready to pick up","Waiting")))</f>
        <v/>
      </c>
      <c r="J59" s="46"/>
      <c r="K59" s="46"/>
    </row>
    <row r="60" customFormat="false" ht="15" hidden="false" customHeight="false" outlineLevel="0" collapsed="false">
      <c r="A60" s="46" t="s">
        <v>2909</v>
      </c>
      <c r="B60" s="46"/>
      <c r="C60" s="46"/>
      <c r="D60" s="46"/>
      <c r="E60" s="46"/>
      <c r="F60" s="46"/>
      <c r="G60" s="46"/>
      <c r="H60" s="46" t="str">
        <f aca="false">IF(C60="","",IF(COUNTIFS(Drafts!$A$2:$A$251,C60,Drafts!$E$2:$E$251,"&lt;&gt;Adopted",Drafts!$E$2:$E$251,"&lt;&gt;Withdrawn")&gt;0,"Yes","No"))</f>
        <v/>
      </c>
      <c r="I60" s="46" t="str">
        <f aca="false">IF(C60="","",IF(G60&lt;&gt;"Waiting",G60,IF(H60="Yes","● Ready to pick up","Waiting")))</f>
        <v/>
      </c>
      <c r="J60" s="46"/>
      <c r="K60" s="46"/>
    </row>
    <row r="61" customFormat="false" ht="15" hidden="false" customHeight="false" outlineLevel="0" collapsed="false">
      <c r="A61" s="46" t="s">
        <v>2910</v>
      </c>
      <c r="B61" s="46"/>
      <c r="C61" s="46"/>
      <c r="D61" s="46"/>
      <c r="E61" s="46"/>
      <c r="F61" s="46"/>
      <c r="G61" s="46"/>
      <c r="H61" s="46" t="str">
        <f aca="false">IF(C61="","",IF(COUNTIFS(Drafts!$A$2:$A$251,C61,Drafts!$E$2:$E$251,"&lt;&gt;Adopted",Drafts!$E$2:$E$251,"&lt;&gt;Withdrawn")&gt;0,"Yes","No"))</f>
        <v/>
      </c>
      <c r="I61" s="46" t="str">
        <f aca="false">IF(C61="","",IF(G61&lt;&gt;"Waiting",G61,IF(H61="Yes","● Ready to pick up","Waiting")))</f>
        <v/>
      </c>
      <c r="J61" s="46"/>
      <c r="K61" s="46"/>
    </row>
    <row r="62" customFormat="false" ht="15" hidden="false" customHeight="false" outlineLevel="0" collapsed="false">
      <c r="A62" s="46" t="s">
        <v>2911</v>
      </c>
      <c r="B62" s="46"/>
      <c r="C62" s="46"/>
      <c r="D62" s="46"/>
      <c r="E62" s="46"/>
      <c r="F62" s="46"/>
      <c r="G62" s="46"/>
      <c r="H62" s="46" t="str">
        <f aca="false">IF(C62="","",IF(COUNTIFS(Drafts!$A$2:$A$251,C62,Drafts!$E$2:$E$251,"&lt;&gt;Adopted",Drafts!$E$2:$E$251,"&lt;&gt;Withdrawn")&gt;0,"Yes","No"))</f>
        <v/>
      </c>
      <c r="I62" s="46" t="str">
        <f aca="false">IF(C62="","",IF(G62&lt;&gt;"Waiting",G62,IF(H62="Yes","● Ready to pick up","Waiting")))</f>
        <v/>
      </c>
      <c r="J62" s="46"/>
      <c r="K62" s="46"/>
    </row>
    <row r="63" customFormat="false" ht="15" hidden="false" customHeight="false" outlineLevel="0" collapsed="false">
      <c r="A63" s="46" t="s">
        <v>2912</v>
      </c>
      <c r="B63" s="46"/>
      <c r="C63" s="46"/>
      <c r="D63" s="46"/>
      <c r="E63" s="46"/>
      <c r="F63" s="46"/>
      <c r="G63" s="46"/>
      <c r="H63" s="46" t="str">
        <f aca="false">IF(C63="","",IF(COUNTIFS(Drafts!$A$2:$A$251,C63,Drafts!$E$2:$E$251,"&lt;&gt;Adopted",Drafts!$E$2:$E$251,"&lt;&gt;Withdrawn")&gt;0,"Yes","No"))</f>
        <v/>
      </c>
      <c r="I63" s="46" t="str">
        <f aca="false">IF(C63="","",IF(G63&lt;&gt;"Waiting",G63,IF(H63="Yes","● Ready to pick up","Waiting")))</f>
        <v/>
      </c>
      <c r="J63" s="46"/>
      <c r="K63" s="46"/>
    </row>
    <row r="64" customFormat="false" ht="15" hidden="false" customHeight="false" outlineLevel="0" collapsed="false">
      <c r="A64" s="46" t="s">
        <v>2913</v>
      </c>
      <c r="B64" s="46"/>
      <c r="C64" s="46"/>
      <c r="D64" s="46"/>
      <c r="E64" s="46"/>
      <c r="F64" s="46"/>
      <c r="G64" s="46"/>
      <c r="H64" s="46" t="str">
        <f aca="false">IF(C64="","",IF(COUNTIFS(Drafts!$A$2:$A$251,C64,Drafts!$E$2:$E$251,"&lt;&gt;Adopted",Drafts!$E$2:$E$251,"&lt;&gt;Withdrawn")&gt;0,"Yes","No"))</f>
        <v/>
      </c>
      <c r="I64" s="46" t="str">
        <f aca="false">IF(C64="","",IF(G64&lt;&gt;"Waiting",G64,IF(H64="Yes","● Ready to pick up","Waiting")))</f>
        <v/>
      </c>
      <c r="J64" s="46"/>
      <c r="K64" s="46"/>
    </row>
    <row r="65" customFormat="false" ht="15" hidden="false" customHeight="false" outlineLevel="0" collapsed="false">
      <c r="A65" s="46" t="s">
        <v>2914</v>
      </c>
      <c r="B65" s="46"/>
      <c r="C65" s="46"/>
      <c r="D65" s="46"/>
      <c r="E65" s="46"/>
      <c r="F65" s="46"/>
      <c r="G65" s="46"/>
      <c r="H65" s="46" t="str">
        <f aca="false">IF(C65="","",IF(COUNTIFS(Drafts!$A$2:$A$251,C65,Drafts!$E$2:$E$251,"&lt;&gt;Adopted",Drafts!$E$2:$E$251,"&lt;&gt;Withdrawn")&gt;0,"Yes","No"))</f>
        <v/>
      </c>
      <c r="I65" s="46" t="str">
        <f aca="false">IF(C65="","",IF(G65&lt;&gt;"Waiting",G65,IF(H65="Yes","● Ready to pick up","Waiting")))</f>
        <v/>
      </c>
      <c r="J65" s="46"/>
      <c r="K65" s="46"/>
    </row>
    <row r="66" customFormat="false" ht="15" hidden="false" customHeight="false" outlineLevel="0" collapsed="false">
      <c r="A66" s="46" t="s">
        <v>2915</v>
      </c>
      <c r="B66" s="46"/>
      <c r="C66" s="46"/>
      <c r="D66" s="46"/>
      <c r="E66" s="46"/>
      <c r="F66" s="46"/>
      <c r="G66" s="46"/>
      <c r="H66" s="46" t="str">
        <f aca="false">IF(C66="","",IF(COUNTIFS(Drafts!$A$2:$A$251,C66,Drafts!$E$2:$E$251,"&lt;&gt;Adopted",Drafts!$E$2:$E$251,"&lt;&gt;Withdrawn")&gt;0,"Yes","No"))</f>
        <v/>
      </c>
      <c r="I66" s="46" t="str">
        <f aca="false">IF(C66="","",IF(G66&lt;&gt;"Waiting",G66,IF(H66="Yes","● Ready to pick up","Waiting")))</f>
        <v/>
      </c>
      <c r="J66" s="46"/>
      <c r="K66" s="46"/>
    </row>
    <row r="67" customFormat="false" ht="15" hidden="false" customHeight="false" outlineLevel="0" collapsed="false">
      <c r="A67" s="46" t="s">
        <v>2916</v>
      </c>
      <c r="B67" s="46"/>
      <c r="C67" s="46"/>
      <c r="D67" s="46"/>
      <c r="E67" s="46"/>
      <c r="F67" s="46"/>
      <c r="G67" s="46"/>
      <c r="H67" s="46" t="str">
        <f aca="false">IF(C67="","",IF(COUNTIFS(Drafts!$A$2:$A$251,C67,Drafts!$E$2:$E$251,"&lt;&gt;Adopted",Drafts!$E$2:$E$251,"&lt;&gt;Withdrawn")&gt;0,"Yes","No"))</f>
        <v/>
      </c>
      <c r="I67" s="46" t="str">
        <f aca="false">IF(C67="","",IF(G67&lt;&gt;"Waiting",G67,IF(H67="Yes","● Ready to pick up","Waiting")))</f>
        <v/>
      </c>
      <c r="J67" s="46"/>
      <c r="K67" s="46"/>
    </row>
    <row r="68" customFormat="false" ht="15" hidden="false" customHeight="false" outlineLevel="0" collapsed="false">
      <c r="A68" s="46" t="s">
        <v>2917</v>
      </c>
      <c r="B68" s="46"/>
      <c r="C68" s="46"/>
      <c r="D68" s="46"/>
      <c r="E68" s="46"/>
      <c r="F68" s="46"/>
      <c r="G68" s="46"/>
      <c r="H68" s="46" t="str">
        <f aca="false">IF(C68="","",IF(COUNTIFS(Drafts!$A$2:$A$251,C68,Drafts!$E$2:$E$251,"&lt;&gt;Adopted",Drafts!$E$2:$E$251,"&lt;&gt;Withdrawn")&gt;0,"Yes","No"))</f>
        <v/>
      </c>
      <c r="I68" s="46" t="str">
        <f aca="false">IF(C68="","",IF(G68&lt;&gt;"Waiting",G68,IF(H68="Yes","● Ready to pick up","Waiting")))</f>
        <v/>
      </c>
      <c r="J68" s="46"/>
      <c r="K68" s="46"/>
    </row>
    <row r="69" customFormat="false" ht="15" hidden="false" customHeight="false" outlineLevel="0" collapsed="false">
      <c r="A69" s="46" t="s">
        <v>2918</v>
      </c>
      <c r="B69" s="46"/>
      <c r="C69" s="46"/>
      <c r="D69" s="46"/>
      <c r="E69" s="46"/>
      <c r="F69" s="46"/>
      <c r="G69" s="46"/>
      <c r="H69" s="46" t="str">
        <f aca="false">IF(C69="","",IF(COUNTIFS(Drafts!$A$2:$A$251,C69,Drafts!$E$2:$E$251,"&lt;&gt;Adopted",Drafts!$E$2:$E$251,"&lt;&gt;Withdrawn")&gt;0,"Yes","No"))</f>
        <v/>
      </c>
      <c r="I69" s="46" t="str">
        <f aca="false">IF(C69="","",IF(G69&lt;&gt;"Waiting",G69,IF(H69="Yes","● Ready to pick up","Waiting")))</f>
        <v/>
      </c>
      <c r="J69" s="46"/>
      <c r="K69" s="46"/>
    </row>
    <row r="70" customFormat="false" ht="15" hidden="false" customHeight="false" outlineLevel="0" collapsed="false">
      <c r="A70" s="46" t="s">
        <v>2919</v>
      </c>
      <c r="B70" s="46"/>
      <c r="C70" s="46"/>
      <c r="D70" s="46"/>
      <c r="E70" s="46"/>
      <c r="F70" s="46"/>
      <c r="G70" s="46"/>
      <c r="H70" s="46" t="str">
        <f aca="false">IF(C70="","",IF(COUNTIFS(Drafts!$A$2:$A$251,C70,Drafts!$E$2:$E$251,"&lt;&gt;Adopted",Drafts!$E$2:$E$251,"&lt;&gt;Withdrawn")&gt;0,"Yes","No"))</f>
        <v/>
      </c>
      <c r="I70" s="46" t="str">
        <f aca="false">IF(C70="","",IF(G70&lt;&gt;"Waiting",G70,IF(H70="Yes","● Ready to pick up","Waiting")))</f>
        <v/>
      </c>
      <c r="J70" s="46"/>
      <c r="K70" s="46"/>
    </row>
    <row r="71" customFormat="false" ht="15" hidden="false" customHeight="false" outlineLevel="0" collapsed="false">
      <c r="A71" s="46" t="s">
        <v>2920</v>
      </c>
      <c r="B71" s="46"/>
      <c r="C71" s="46"/>
      <c r="D71" s="46"/>
      <c r="E71" s="46"/>
      <c r="F71" s="46"/>
      <c r="G71" s="46"/>
      <c r="H71" s="46" t="str">
        <f aca="false">IF(C71="","",IF(COUNTIFS(Drafts!$A$2:$A$251,C71,Drafts!$E$2:$E$251,"&lt;&gt;Adopted",Drafts!$E$2:$E$251,"&lt;&gt;Withdrawn")&gt;0,"Yes","No"))</f>
        <v/>
      </c>
      <c r="I71" s="46" t="str">
        <f aca="false">IF(C71="","",IF(G71&lt;&gt;"Waiting",G71,IF(H71="Yes","● Ready to pick up","Waiting")))</f>
        <v/>
      </c>
      <c r="J71" s="46"/>
      <c r="K71" s="46"/>
    </row>
    <row r="72" customFormat="false" ht="15" hidden="false" customHeight="false" outlineLevel="0" collapsed="false">
      <c r="A72" s="46" t="s">
        <v>2921</v>
      </c>
      <c r="B72" s="46"/>
      <c r="C72" s="46"/>
      <c r="D72" s="46"/>
      <c r="E72" s="46"/>
      <c r="F72" s="46"/>
      <c r="G72" s="46"/>
      <c r="H72" s="46" t="str">
        <f aca="false">IF(C72="","",IF(COUNTIFS(Drafts!$A$2:$A$251,C72,Drafts!$E$2:$E$251,"&lt;&gt;Adopted",Drafts!$E$2:$E$251,"&lt;&gt;Withdrawn")&gt;0,"Yes","No"))</f>
        <v/>
      </c>
      <c r="I72" s="46" t="str">
        <f aca="false">IF(C72="","",IF(G72&lt;&gt;"Waiting",G72,IF(H72="Yes","● Ready to pick up","Waiting")))</f>
        <v/>
      </c>
      <c r="J72" s="46"/>
      <c r="K72" s="46"/>
    </row>
    <row r="73" customFormat="false" ht="15" hidden="false" customHeight="false" outlineLevel="0" collapsed="false">
      <c r="A73" s="46" t="s">
        <v>2922</v>
      </c>
      <c r="B73" s="46"/>
      <c r="C73" s="46"/>
      <c r="D73" s="46"/>
      <c r="E73" s="46"/>
      <c r="F73" s="46"/>
      <c r="G73" s="46"/>
      <c r="H73" s="46" t="str">
        <f aca="false">IF(C73="","",IF(COUNTIFS(Drafts!$A$2:$A$251,C73,Drafts!$E$2:$E$251,"&lt;&gt;Adopted",Drafts!$E$2:$E$251,"&lt;&gt;Withdrawn")&gt;0,"Yes","No"))</f>
        <v/>
      </c>
      <c r="I73" s="46" t="str">
        <f aca="false">IF(C73="","",IF(G73&lt;&gt;"Waiting",G73,IF(H73="Yes","● Ready to pick up","Waiting")))</f>
        <v/>
      </c>
      <c r="J73" s="46"/>
      <c r="K73" s="46"/>
    </row>
    <row r="74" customFormat="false" ht="15" hidden="false" customHeight="false" outlineLevel="0" collapsed="false">
      <c r="A74" s="46" t="s">
        <v>2923</v>
      </c>
      <c r="B74" s="46"/>
      <c r="C74" s="46"/>
      <c r="D74" s="46"/>
      <c r="E74" s="46"/>
      <c r="F74" s="46"/>
      <c r="G74" s="46"/>
      <c r="H74" s="46" t="str">
        <f aca="false">IF(C74="","",IF(COUNTIFS(Drafts!$A$2:$A$251,C74,Drafts!$E$2:$E$251,"&lt;&gt;Adopted",Drafts!$E$2:$E$251,"&lt;&gt;Withdrawn")&gt;0,"Yes","No"))</f>
        <v/>
      </c>
      <c r="I74" s="46" t="str">
        <f aca="false">IF(C74="","",IF(G74&lt;&gt;"Waiting",G74,IF(H74="Yes","● Ready to pick up","Waiting")))</f>
        <v/>
      </c>
      <c r="J74" s="46"/>
      <c r="K74" s="46"/>
    </row>
    <row r="75" customFormat="false" ht="15" hidden="false" customHeight="false" outlineLevel="0" collapsed="false">
      <c r="A75" s="46" t="s">
        <v>2924</v>
      </c>
      <c r="B75" s="46"/>
      <c r="C75" s="46"/>
      <c r="D75" s="46"/>
      <c r="E75" s="46"/>
      <c r="F75" s="46"/>
      <c r="G75" s="46"/>
      <c r="H75" s="46" t="str">
        <f aca="false">IF(C75="","",IF(COUNTIFS(Drafts!$A$2:$A$251,C75,Drafts!$E$2:$E$251,"&lt;&gt;Adopted",Drafts!$E$2:$E$251,"&lt;&gt;Withdrawn")&gt;0,"Yes","No"))</f>
        <v/>
      </c>
      <c r="I75" s="46" t="str">
        <f aca="false">IF(C75="","",IF(G75&lt;&gt;"Waiting",G75,IF(H75="Yes","● Ready to pick up","Waiting")))</f>
        <v/>
      </c>
      <c r="J75" s="46"/>
      <c r="K75" s="46"/>
    </row>
    <row r="76" customFormat="false" ht="15" hidden="false" customHeight="false" outlineLevel="0" collapsed="false">
      <c r="A76" s="46" t="s">
        <v>2925</v>
      </c>
      <c r="B76" s="46"/>
      <c r="C76" s="46"/>
      <c r="D76" s="46"/>
      <c r="E76" s="46"/>
      <c r="F76" s="46"/>
      <c r="G76" s="46"/>
      <c r="H76" s="46" t="str">
        <f aca="false">IF(C76="","",IF(COUNTIFS(Drafts!$A$2:$A$251,C76,Drafts!$E$2:$E$251,"&lt;&gt;Adopted",Drafts!$E$2:$E$251,"&lt;&gt;Withdrawn")&gt;0,"Yes","No"))</f>
        <v/>
      </c>
      <c r="I76" s="46" t="str">
        <f aca="false">IF(C76="","",IF(G76&lt;&gt;"Waiting",G76,IF(H76="Yes","● Ready to pick up","Waiting")))</f>
        <v/>
      </c>
      <c r="J76" s="46"/>
      <c r="K76" s="46"/>
    </row>
    <row r="77" customFormat="false" ht="15" hidden="false" customHeight="false" outlineLevel="0" collapsed="false">
      <c r="A77" s="46" t="s">
        <v>2926</v>
      </c>
      <c r="B77" s="46"/>
      <c r="C77" s="46"/>
      <c r="D77" s="46"/>
      <c r="E77" s="46"/>
      <c r="F77" s="46"/>
      <c r="G77" s="46"/>
      <c r="H77" s="46" t="str">
        <f aca="false">IF(C77="","",IF(COUNTIFS(Drafts!$A$2:$A$251,C77,Drafts!$E$2:$E$251,"&lt;&gt;Adopted",Drafts!$E$2:$E$251,"&lt;&gt;Withdrawn")&gt;0,"Yes","No"))</f>
        <v/>
      </c>
      <c r="I77" s="46" t="str">
        <f aca="false">IF(C77="","",IF(G77&lt;&gt;"Waiting",G77,IF(H77="Yes","● Ready to pick up","Waiting")))</f>
        <v/>
      </c>
      <c r="J77" s="46"/>
      <c r="K77" s="46"/>
    </row>
    <row r="78" customFormat="false" ht="15" hidden="false" customHeight="false" outlineLevel="0" collapsed="false">
      <c r="A78" s="46" t="s">
        <v>2927</v>
      </c>
      <c r="B78" s="46"/>
      <c r="C78" s="46"/>
      <c r="D78" s="46"/>
      <c r="E78" s="46"/>
      <c r="F78" s="46"/>
      <c r="G78" s="46"/>
      <c r="H78" s="46" t="str">
        <f aca="false">IF(C78="","",IF(COUNTIFS(Drafts!$A$2:$A$251,C78,Drafts!$E$2:$E$251,"&lt;&gt;Adopted",Drafts!$E$2:$E$251,"&lt;&gt;Withdrawn")&gt;0,"Yes","No"))</f>
        <v/>
      </c>
      <c r="I78" s="46" t="str">
        <f aca="false">IF(C78="","",IF(G78&lt;&gt;"Waiting",G78,IF(H78="Yes","● Ready to pick up","Waiting")))</f>
        <v/>
      </c>
      <c r="J78" s="46"/>
      <c r="K78" s="46"/>
    </row>
    <row r="79" customFormat="false" ht="15" hidden="false" customHeight="false" outlineLevel="0" collapsed="false">
      <c r="A79" s="46" t="s">
        <v>2928</v>
      </c>
      <c r="B79" s="46"/>
      <c r="C79" s="46"/>
      <c r="D79" s="46"/>
      <c r="E79" s="46"/>
      <c r="F79" s="46"/>
      <c r="G79" s="46"/>
      <c r="H79" s="46" t="str">
        <f aca="false">IF(C79="","",IF(COUNTIFS(Drafts!$A$2:$A$251,C79,Drafts!$E$2:$E$251,"&lt;&gt;Adopted",Drafts!$E$2:$E$251,"&lt;&gt;Withdrawn")&gt;0,"Yes","No"))</f>
        <v/>
      </c>
      <c r="I79" s="46" t="str">
        <f aca="false">IF(C79="","",IF(G79&lt;&gt;"Waiting",G79,IF(H79="Yes","● Ready to pick up","Waiting")))</f>
        <v/>
      </c>
      <c r="J79" s="46"/>
      <c r="K79" s="46"/>
    </row>
    <row r="80" customFormat="false" ht="15" hidden="false" customHeight="false" outlineLevel="0" collapsed="false">
      <c r="A80" s="46" t="s">
        <v>2929</v>
      </c>
      <c r="B80" s="46"/>
      <c r="C80" s="46"/>
      <c r="D80" s="46"/>
      <c r="E80" s="46"/>
      <c r="F80" s="46"/>
      <c r="G80" s="46"/>
      <c r="H80" s="46" t="str">
        <f aca="false">IF(C80="","",IF(COUNTIFS(Drafts!$A$2:$A$251,C80,Drafts!$E$2:$E$251,"&lt;&gt;Adopted",Drafts!$E$2:$E$251,"&lt;&gt;Withdrawn")&gt;0,"Yes","No"))</f>
        <v/>
      </c>
      <c r="I80" s="46" t="str">
        <f aca="false">IF(C80="","",IF(G80&lt;&gt;"Waiting",G80,IF(H80="Yes","● Ready to pick up","Waiting")))</f>
        <v/>
      </c>
      <c r="J80" s="46"/>
      <c r="K80" s="46"/>
    </row>
    <row r="81" customFormat="false" ht="15" hidden="false" customHeight="false" outlineLevel="0" collapsed="false">
      <c r="A81" s="46" t="s">
        <v>2930</v>
      </c>
      <c r="B81" s="46"/>
      <c r="C81" s="46"/>
      <c r="D81" s="46"/>
      <c r="E81" s="46"/>
      <c r="F81" s="46"/>
      <c r="G81" s="46"/>
      <c r="H81" s="46" t="str">
        <f aca="false">IF(C81="","",IF(COUNTIFS(Drafts!$A$2:$A$251,C81,Drafts!$E$2:$E$251,"&lt;&gt;Adopted",Drafts!$E$2:$E$251,"&lt;&gt;Withdrawn")&gt;0,"Yes","No"))</f>
        <v/>
      </c>
      <c r="I81" s="46" t="str">
        <f aca="false">IF(C81="","",IF(G81&lt;&gt;"Waiting",G81,IF(H81="Yes","● Ready to pick up","Waiting")))</f>
        <v/>
      </c>
      <c r="J81" s="46"/>
      <c r="K81" s="46"/>
    </row>
    <row r="82" customFormat="false" ht="15" hidden="false" customHeight="false" outlineLevel="0" collapsed="false">
      <c r="A82" s="46" t="s">
        <v>2931</v>
      </c>
      <c r="B82" s="46"/>
      <c r="C82" s="46"/>
      <c r="D82" s="46"/>
      <c r="E82" s="46"/>
      <c r="F82" s="46"/>
      <c r="G82" s="46"/>
      <c r="H82" s="46" t="str">
        <f aca="false">IF(C82="","",IF(COUNTIFS(Drafts!$A$2:$A$251,C82,Drafts!$E$2:$E$251,"&lt;&gt;Adopted",Drafts!$E$2:$E$251,"&lt;&gt;Withdrawn")&gt;0,"Yes","No"))</f>
        <v/>
      </c>
      <c r="I82" s="46" t="str">
        <f aca="false">IF(C82="","",IF(G82&lt;&gt;"Waiting",G82,IF(H82="Yes","● Ready to pick up","Waiting")))</f>
        <v/>
      </c>
      <c r="J82" s="46"/>
      <c r="K82" s="46"/>
    </row>
    <row r="83" customFormat="false" ht="15" hidden="false" customHeight="false" outlineLevel="0" collapsed="false">
      <c r="A83" s="46" t="s">
        <v>2932</v>
      </c>
      <c r="B83" s="46"/>
      <c r="C83" s="46"/>
      <c r="D83" s="46"/>
      <c r="E83" s="46"/>
      <c r="F83" s="46"/>
      <c r="G83" s="46"/>
      <c r="H83" s="46" t="str">
        <f aca="false">IF(C83="","",IF(COUNTIFS(Drafts!$A$2:$A$251,C83,Drafts!$E$2:$E$251,"&lt;&gt;Adopted",Drafts!$E$2:$E$251,"&lt;&gt;Withdrawn")&gt;0,"Yes","No"))</f>
        <v/>
      </c>
      <c r="I83" s="46" t="str">
        <f aca="false">IF(C83="","",IF(G83&lt;&gt;"Waiting",G83,IF(H83="Yes","● Ready to pick up","Waiting")))</f>
        <v/>
      </c>
      <c r="J83" s="46"/>
      <c r="K83" s="46"/>
    </row>
    <row r="84" customFormat="false" ht="15" hidden="false" customHeight="false" outlineLevel="0" collapsed="false">
      <c r="A84" s="46" t="s">
        <v>2933</v>
      </c>
      <c r="B84" s="46"/>
      <c r="C84" s="46"/>
      <c r="D84" s="46"/>
      <c r="E84" s="46"/>
      <c r="F84" s="46"/>
      <c r="G84" s="46"/>
      <c r="H84" s="46" t="str">
        <f aca="false">IF(C84="","",IF(COUNTIFS(Drafts!$A$2:$A$251,C84,Drafts!$E$2:$E$251,"&lt;&gt;Adopted",Drafts!$E$2:$E$251,"&lt;&gt;Withdrawn")&gt;0,"Yes","No"))</f>
        <v/>
      </c>
      <c r="I84" s="46" t="str">
        <f aca="false">IF(C84="","",IF(G84&lt;&gt;"Waiting",G84,IF(H84="Yes","● Ready to pick up","Waiting")))</f>
        <v/>
      </c>
      <c r="J84" s="46"/>
      <c r="K84" s="46"/>
    </row>
    <row r="85" customFormat="false" ht="15" hidden="false" customHeight="false" outlineLevel="0" collapsed="false">
      <c r="A85" s="46" t="s">
        <v>2934</v>
      </c>
      <c r="B85" s="46"/>
      <c r="C85" s="46"/>
      <c r="D85" s="46"/>
      <c r="E85" s="46"/>
      <c r="F85" s="46"/>
      <c r="G85" s="46"/>
      <c r="H85" s="46" t="str">
        <f aca="false">IF(C85="","",IF(COUNTIFS(Drafts!$A$2:$A$251,C85,Drafts!$E$2:$E$251,"&lt;&gt;Adopted",Drafts!$E$2:$E$251,"&lt;&gt;Withdrawn")&gt;0,"Yes","No"))</f>
        <v/>
      </c>
      <c r="I85" s="46" t="str">
        <f aca="false">IF(C85="","",IF(G85&lt;&gt;"Waiting",G85,IF(H85="Yes","● Ready to pick up","Waiting")))</f>
        <v/>
      </c>
      <c r="J85" s="46"/>
      <c r="K85" s="46"/>
    </row>
    <row r="86" customFormat="false" ht="15" hidden="false" customHeight="false" outlineLevel="0" collapsed="false">
      <c r="A86" s="46" t="s">
        <v>2935</v>
      </c>
      <c r="B86" s="46"/>
      <c r="C86" s="46"/>
      <c r="D86" s="46"/>
      <c r="E86" s="46"/>
      <c r="F86" s="46"/>
      <c r="G86" s="46"/>
      <c r="H86" s="46" t="str">
        <f aca="false">IF(C86="","",IF(COUNTIFS(Drafts!$A$2:$A$251,C86,Drafts!$E$2:$E$251,"&lt;&gt;Adopted",Drafts!$E$2:$E$251,"&lt;&gt;Withdrawn")&gt;0,"Yes","No"))</f>
        <v/>
      </c>
      <c r="I86" s="46" t="str">
        <f aca="false">IF(C86="","",IF(G86&lt;&gt;"Waiting",G86,IF(H86="Yes","● Ready to pick up","Waiting")))</f>
        <v/>
      </c>
      <c r="J86" s="46"/>
      <c r="K86" s="46"/>
    </row>
    <row r="87" customFormat="false" ht="15" hidden="false" customHeight="false" outlineLevel="0" collapsed="false">
      <c r="A87" s="46" t="s">
        <v>2936</v>
      </c>
      <c r="B87" s="46"/>
      <c r="C87" s="46"/>
      <c r="D87" s="46"/>
      <c r="E87" s="46"/>
      <c r="F87" s="46"/>
      <c r="G87" s="46"/>
      <c r="H87" s="46" t="str">
        <f aca="false">IF(C87="","",IF(COUNTIFS(Drafts!$A$2:$A$251,C87,Drafts!$E$2:$E$251,"&lt;&gt;Adopted",Drafts!$E$2:$E$251,"&lt;&gt;Withdrawn")&gt;0,"Yes","No"))</f>
        <v/>
      </c>
      <c r="I87" s="46" t="str">
        <f aca="false">IF(C87="","",IF(G87&lt;&gt;"Waiting",G87,IF(H87="Yes","● Ready to pick up","Waiting")))</f>
        <v/>
      </c>
      <c r="J87" s="46"/>
      <c r="K87" s="46"/>
    </row>
    <row r="88" customFormat="false" ht="15" hidden="false" customHeight="false" outlineLevel="0" collapsed="false">
      <c r="A88" s="46" t="s">
        <v>2937</v>
      </c>
      <c r="B88" s="46"/>
      <c r="C88" s="46"/>
      <c r="D88" s="46"/>
      <c r="E88" s="46"/>
      <c r="F88" s="46"/>
      <c r="G88" s="46"/>
      <c r="H88" s="46" t="str">
        <f aca="false">IF(C88="","",IF(COUNTIFS(Drafts!$A$2:$A$251,C88,Drafts!$E$2:$E$251,"&lt;&gt;Adopted",Drafts!$E$2:$E$251,"&lt;&gt;Withdrawn")&gt;0,"Yes","No"))</f>
        <v/>
      </c>
      <c r="I88" s="46" t="str">
        <f aca="false">IF(C88="","",IF(G88&lt;&gt;"Waiting",G88,IF(H88="Yes","● Ready to pick up","Waiting")))</f>
        <v/>
      </c>
      <c r="J88" s="46"/>
      <c r="K88" s="46"/>
    </row>
    <row r="89" customFormat="false" ht="15" hidden="false" customHeight="false" outlineLevel="0" collapsed="false">
      <c r="A89" s="46" t="s">
        <v>2938</v>
      </c>
      <c r="B89" s="46"/>
      <c r="C89" s="46"/>
      <c r="D89" s="46"/>
      <c r="E89" s="46"/>
      <c r="F89" s="46"/>
      <c r="G89" s="46"/>
      <c r="H89" s="46" t="str">
        <f aca="false">IF(C89="","",IF(COUNTIFS(Drafts!$A$2:$A$251,C89,Drafts!$E$2:$E$251,"&lt;&gt;Adopted",Drafts!$E$2:$E$251,"&lt;&gt;Withdrawn")&gt;0,"Yes","No"))</f>
        <v/>
      </c>
      <c r="I89" s="46" t="str">
        <f aca="false">IF(C89="","",IF(G89&lt;&gt;"Waiting",G89,IF(H89="Yes","● Ready to pick up","Waiting")))</f>
        <v/>
      </c>
      <c r="J89" s="46"/>
      <c r="K89" s="46"/>
    </row>
    <row r="90" customFormat="false" ht="15" hidden="false" customHeight="false" outlineLevel="0" collapsed="false">
      <c r="A90" s="46" t="s">
        <v>2939</v>
      </c>
      <c r="B90" s="46"/>
      <c r="C90" s="46"/>
      <c r="D90" s="46"/>
      <c r="E90" s="46"/>
      <c r="F90" s="46"/>
      <c r="G90" s="46"/>
      <c r="H90" s="46" t="str">
        <f aca="false">IF(C90="","",IF(COUNTIFS(Drafts!$A$2:$A$251,C90,Drafts!$E$2:$E$251,"&lt;&gt;Adopted",Drafts!$E$2:$E$251,"&lt;&gt;Withdrawn")&gt;0,"Yes","No"))</f>
        <v/>
      </c>
      <c r="I90" s="46" t="str">
        <f aca="false">IF(C90="","",IF(G90&lt;&gt;"Waiting",G90,IF(H90="Yes","● Ready to pick up","Waiting")))</f>
        <v/>
      </c>
      <c r="J90" s="46"/>
      <c r="K90" s="46"/>
    </row>
    <row r="91" customFormat="false" ht="15" hidden="false" customHeight="false" outlineLevel="0" collapsed="false">
      <c r="A91" s="46" t="s">
        <v>2940</v>
      </c>
      <c r="B91" s="46"/>
      <c r="C91" s="46"/>
      <c r="D91" s="46"/>
      <c r="E91" s="46"/>
      <c r="F91" s="46"/>
      <c r="G91" s="46"/>
      <c r="H91" s="46" t="str">
        <f aca="false">IF(C91="","",IF(COUNTIFS(Drafts!$A$2:$A$251,C91,Drafts!$E$2:$E$251,"&lt;&gt;Adopted",Drafts!$E$2:$E$251,"&lt;&gt;Withdrawn")&gt;0,"Yes","No"))</f>
        <v/>
      </c>
      <c r="I91" s="46" t="str">
        <f aca="false">IF(C91="","",IF(G91&lt;&gt;"Waiting",G91,IF(H91="Yes","● Ready to pick up","Waiting")))</f>
        <v/>
      </c>
      <c r="J91" s="46"/>
      <c r="K91" s="46"/>
    </row>
    <row r="92" customFormat="false" ht="15" hidden="false" customHeight="false" outlineLevel="0" collapsed="false">
      <c r="A92" s="46" t="s">
        <v>2941</v>
      </c>
      <c r="B92" s="46"/>
      <c r="C92" s="46"/>
      <c r="D92" s="46"/>
      <c r="E92" s="46"/>
      <c r="F92" s="46"/>
      <c r="G92" s="46"/>
      <c r="H92" s="46" t="str">
        <f aca="false">IF(C92="","",IF(COUNTIFS(Drafts!$A$2:$A$251,C92,Drafts!$E$2:$E$251,"&lt;&gt;Adopted",Drafts!$E$2:$E$251,"&lt;&gt;Withdrawn")&gt;0,"Yes","No"))</f>
        <v/>
      </c>
      <c r="I92" s="46" t="str">
        <f aca="false">IF(C92="","",IF(G92&lt;&gt;"Waiting",G92,IF(H92="Yes","● Ready to pick up","Waiting")))</f>
        <v/>
      </c>
      <c r="J92" s="46"/>
      <c r="K92" s="46"/>
    </row>
    <row r="93" customFormat="false" ht="15" hidden="false" customHeight="false" outlineLevel="0" collapsed="false">
      <c r="A93" s="46" t="s">
        <v>2942</v>
      </c>
      <c r="B93" s="46"/>
      <c r="C93" s="46"/>
      <c r="D93" s="46"/>
      <c r="E93" s="46"/>
      <c r="F93" s="46"/>
      <c r="G93" s="46"/>
      <c r="H93" s="46" t="str">
        <f aca="false">IF(C93="","",IF(COUNTIFS(Drafts!$A$2:$A$251,C93,Drafts!$E$2:$E$251,"&lt;&gt;Adopted",Drafts!$E$2:$E$251,"&lt;&gt;Withdrawn")&gt;0,"Yes","No"))</f>
        <v/>
      </c>
      <c r="I93" s="46" t="str">
        <f aca="false">IF(C93="","",IF(G93&lt;&gt;"Waiting",G93,IF(H93="Yes","● Ready to pick up","Waiting")))</f>
        <v/>
      </c>
      <c r="J93" s="46"/>
      <c r="K93" s="46"/>
    </row>
    <row r="94" customFormat="false" ht="15" hidden="false" customHeight="false" outlineLevel="0" collapsed="false">
      <c r="A94" s="46" t="s">
        <v>2943</v>
      </c>
      <c r="B94" s="46"/>
      <c r="C94" s="46"/>
      <c r="D94" s="46"/>
      <c r="E94" s="46"/>
      <c r="F94" s="46"/>
      <c r="G94" s="46"/>
      <c r="H94" s="46" t="str">
        <f aca="false">IF(C94="","",IF(COUNTIFS(Drafts!$A$2:$A$251,C94,Drafts!$E$2:$E$251,"&lt;&gt;Adopted",Drafts!$E$2:$E$251,"&lt;&gt;Withdrawn")&gt;0,"Yes","No"))</f>
        <v/>
      </c>
      <c r="I94" s="46" t="str">
        <f aca="false">IF(C94="","",IF(G94&lt;&gt;"Waiting",G94,IF(H94="Yes","● Ready to pick up","Waiting")))</f>
        <v/>
      </c>
      <c r="J94" s="46"/>
      <c r="K94" s="46"/>
    </row>
    <row r="95" customFormat="false" ht="15" hidden="false" customHeight="false" outlineLevel="0" collapsed="false">
      <c r="A95" s="46" t="s">
        <v>2944</v>
      </c>
      <c r="B95" s="46"/>
      <c r="C95" s="46"/>
      <c r="D95" s="46"/>
      <c r="E95" s="46"/>
      <c r="F95" s="46"/>
      <c r="G95" s="46"/>
      <c r="H95" s="46" t="str">
        <f aca="false">IF(C95="","",IF(COUNTIFS(Drafts!$A$2:$A$251,C95,Drafts!$E$2:$E$251,"&lt;&gt;Adopted",Drafts!$E$2:$E$251,"&lt;&gt;Withdrawn")&gt;0,"Yes","No"))</f>
        <v/>
      </c>
      <c r="I95" s="46" t="str">
        <f aca="false">IF(C95="","",IF(G95&lt;&gt;"Waiting",G95,IF(H95="Yes","● Ready to pick up","Waiting")))</f>
        <v/>
      </c>
      <c r="J95" s="46"/>
      <c r="K95" s="46"/>
    </row>
    <row r="96" customFormat="false" ht="15" hidden="false" customHeight="false" outlineLevel="0" collapsed="false">
      <c r="A96" s="46" t="s">
        <v>2945</v>
      </c>
      <c r="B96" s="46"/>
      <c r="C96" s="46"/>
      <c r="D96" s="46"/>
      <c r="E96" s="46"/>
      <c r="F96" s="46"/>
      <c r="G96" s="46"/>
      <c r="H96" s="46" t="str">
        <f aca="false">IF(C96="","",IF(COUNTIFS(Drafts!$A$2:$A$251,C96,Drafts!$E$2:$E$251,"&lt;&gt;Adopted",Drafts!$E$2:$E$251,"&lt;&gt;Withdrawn")&gt;0,"Yes","No"))</f>
        <v/>
      </c>
      <c r="I96" s="46" t="str">
        <f aca="false">IF(C96="","",IF(G96&lt;&gt;"Waiting",G96,IF(H96="Yes","● Ready to pick up","Waiting")))</f>
        <v/>
      </c>
      <c r="J96" s="46"/>
      <c r="K96" s="46"/>
    </row>
    <row r="97" customFormat="false" ht="15" hidden="false" customHeight="false" outlineLevel="0" collapsed="false">
      <c r="A97" s="46" t="s">
        <v>2946</v>
      </c>
      <c r="B97" s="46"/>
      <c r="C97" s="46"/>
      <c r="D97" s="46"/>
      <c r="E97" s="46"/>
      <c r="F97" s="46"/>
      <c r="G97" s="46"/>
      <c r="H97" s="46" t="str">
        <f aca="false">IF(C97="","",IF(COUNTIFS(Drafts!$A$2:$A$251,C97,Drafts!$E$2:$E$251,"&lt;&gt;Adopted",Drafts!$E$2:$E$251,"&lt;&gt;Withdrawn")&gt;0,"Yes","No"))</f>
        <v/>
      </c>
      <c r="I97" s="46" t="str">
        <f aca="false">IF(C97="","",IF(G97&lt;&gt;"Waiting",G97,IF(H97="Yes","● Ready to pick up","Waiting")))</f>
        <v/>
      </c>
      <c r="J97" s="46"/>
      <c r="K97" s="46"/>
    </row>
    <row r="98" customFormat="false" ht="15" hidden="false" customHeight="false" outlineLevel="0" collapsed="false">
      <c r="A98" s="46" t="s">
        <v>2947</v>
      </c>
      <c r="B98" s="46"/>
      <c r="C98" s="46"/>
      <c r="D98" s="46"/>
      <c r="E98" s="46"/>
      <c r="F98" s="46"/>
      <c r="G98" s="46"/>
      <c r="H98" s="46" t="str">
        <f aca="false">IF(C98="","",IF(COUNTIFS(Drafts!$A$2:$A$251,C98,Drafts!$E$2:$E$251,"&lt;&gt;Adopted",Drafts!$E$2:$E$251,"&lt;&gt;Withdrawn")&gt;0,"Yes","No"))</f>
        <v/>
      </c>
      <c r="I98" s="46" t="str">
        <f aca="false">IF(C98="","",IF(G98&lt;&gt;"Waiting",G98,IF(H98="Yes","● Ready to pick up","Waiting")))</f>
        <v/>
      </c>
      <c r="J98" s="46"/>
      <c r="K98" s="46"/>
    </row>
    <row r="99" customFormat="false" ht="15" hidden="false" customHeight="false" outlineLevel="0" collapsed="false">
      <c r="A99" s="46" t="s">
        <v>2948</v>
      </c>
      <c r="B99" s="46"/>
      <c r="C99" s="46"/>
      <c r="D99" s="46"/>
      <c r="E99" s="46"/>
      <c r="F99" s="46"/>
      <c r="G99" s="46"/>
      <c r="H99" s="46" t="str">
        <f aca="false">IF(C99="","",IF(COUNTIFS(Drafts!$A$2:$A$251,C99,Drafts!$E$2:$E$251,"&lt;&gt;Adopted",Drafts!$E$2:$E$251,"&lt;&gt;Withdrawn")&gt;0,"Yes","No"))</f>
        <v/>
      </c>
      <c r="I99" s="46" t="str">
        <f aca="false">IF(C99="","",IF(G99&lt;&gt;"Waiting",G99,IF(H99="Yes","● Ready to pick up","Waiting")))</f>
        <v/>
      </c>
      <c r="J99" s="46"/>
      <c r="K99" s="46"/>
    </row>
    <row r="100" customFormat="false" ht="15" hidden="false" customHeight="false" outlineLevel="0" collapsed="false">
      <c r="A100" s="46" t="s">
        <v>2949</v>
      </c>
      <c r="B100" s="46"/>
      <c r="C100" s="46"/>
      <c r="D100" s="46"/>
      <c r="E100" s="46"/>
      <c r="F100" s="46"/>
      <c r="G100" s="46"/>
      <c r="H100" s="46" t="str">
        <f aca="false">IF(C100="","",IF(COUNTIFS(Drafts!$A$2:$A$251,C100,Drafts!$E$2:$E$251,"&lt;&gt;Adopted",Drafts!$E$2:$E$251,"&lt;&gt;Withdrawn")&gt;0,"Yes","No"))</f>
        <v/>
      </c>
      <c r="I100" s="46" t="str">
        <f aca="false">IF(C100="","",IF(G100&lt;&gt;"Waiting",G100,IF(H100="Yes","● Ready to pick up","Waiting")))</f>
        <v/>
      </c>
      <c r="J100" s="46"/>
      <c r="K100" s="46"/>
    </row>
    <row r="101" customFormat="false" ht="15" hidden="false" customHeight="false" outlineLevel="0" collapsed="false">
      <c r="A101" s="46" t="s">
        <v>2950</v>
      </c>
      <c r="B101" s="46"/>
      <c r="C101" s="46"/>
      <c r="D101" s="46"/>
      <c r="E101" s="46"/>
      <c r="F101" s="46"/>
      <c r="G101" s="46"/>
      <c r="H101" s="46" t="str">
        <f aca="false">IF(C101="","",IF(COUNTIFS(Drafts!$A$2:$A$251,C101,Drafts!$E$2:$E$251,"&lt;&gt;Adopted",Drafts!$E$2:$E$251,"&lt;&gt;Withdrawn")&gt;0,"Yes","No"))</f>
        <v/>
      </c>
      <c r="I101" s="46" t="str">
        <f aca="false">IF(C101="","",IF(G101&lt;&gt;"Waiting",G101,IF(H101="Yes","● Ready to pick up","Waiting")))</f>
        <v/>
      </c>
      <c r="J101" s="46"/>
      <c r="K101" s="46"/>
    </row>
    <row r="102" customFormat="false" ht="15" hidden="false" customHeight="false" outlineLevel="0" collapsed="false">
      <c r="A102" s="46" t="s">
        <v>2951</v>
      </c>
      <c r="B102" s="46"/>
      <c r="C102" s="46"/>
      <c r="D102" s="46"/>
      <c r="E102" s="46"/>
      <c r="F102" s="46"/>
      <c r="G102" s="46"/>
      <c r="H102" s="46" t="str">
        <f aca="false">IF(C102="","",IF(COUNTIFS(Drafts!$A$2:$A$251,C102,Drafts!$E$2:$E$251,"&lt;&gt;Adopted",Drafts!$E$2:$E$251,"&lt;&gt;Withdrawn")&gt;0,"Yes","No"))</f>
        <v/>
      </c>
      <c r="I102" s="46" t="str">
        <f aca="false">IF(C102="","",IF(G102&lt;&gt;"Waiting",G102,IF(H102="Yes","● Ready to pick up","Waiting")))</f>
        <v/>
      </c>
      <c r="J102" s="46"/>
      <c r="K102" s="46"/>
    </row>
    <row r="103" customFormat="false" ht="15" hidden="false" customHeight="false" outlineLevel="0" collapsed="false">
      <c r="A103" s="46" t="s">
        <v>2952</v>
      </c>
      <c r="B103" s="46"/>
      <c r="C103" s="46"/>
      <c r="D103" s="46"/>
      <c r="E103" s="46"/>
      <c r="F103" s="46"/>
      <c r="G103" s="46"/>
      <c r="H103" s="46" t="str">
        <f aca="false">IF(C103="","",IF(COUNTIFS(Drafts!$A$2:$A$251,C103,Drafts!$E$2:$E$251,"&lt;&gt;Adopted",Drafts!$E$2:$E$251,"&lt;&gt;Withdrawn")&gt;0,"Yes","No"))</f>
        <v/>
      </c>
      <c r="I103" s="46" t="str">
        <f aca="false">IF(C103="","",IF(G103&lt;&gt;"Waiting",G103,IF(H103="Yes","● Ready to pick up","Waiting")))</f>
        <v/>
      </c>
      <c r="J103" s="46"/>
      <c r="K103" s="46"/>
    </row>
    <row r="104" customFormat="false" ht="15" hidden="false" customHeight="false" outlineLevel="0" collapsed="false">
      <c r="A104" s="46" t="s">
        <v>2953</v>
      </c>
      <c r="B104" s="46"/>
      <c r="C104" s="46"/>
      <c r="D104" s="46"/>
      <c r="E104" s="46"/>
      <c r="F104" s="46"/>
      <c r="G104" s="46"/>
      <c r="H104" s="46" t="str">
        <f aca="false">IF(C104="","",IF(COUNTIFS(Drafts!$A$2:$A$251,C104,Drafts!$E$2:$E$251,"&lt;&gt;Adopted",Drafts!$E$2:$E$251,"&lt;&gt;Withdrawn")&gt;0,"Yes","No"))</f>
        <v/>
      </c>
      <c r="I104" s="46" t="str">
        <f aca="false">IF(C104="","",IF(G104&lt;&gt;"Waiting",G104,IF(H104="Yes","● Ready to pick up","Waiting")))</f>
        <v/>
      </c>
      <c r="J104" s="46"/>
      <c r="K104" s="46"/>
    </row>
    <row r="105" customFormat="false" ht="15" hidden="false" customHeight="false" outlineLevel="0" collapsed="false">
      <c r="A105" s="46" t="s">
        <v>2954</v>
      </c>
      <c r="B105" s="46"/>
      <c r="C105" s="46"/>
      <c r="D105" s="46"/>
      <c r="E105" s="46"/>
      <c r="F105" s="46"/>
      <c r="G105" s="46"/>
      <c r="H105" s="46" t="str">
        <f aca="false">IF(C105="","",IF(COUNTIFS(Drafts!$A$2:$A$251,C105,Drafts!$E$2:$E$251,"&lt;&gt;Adopted",Drafts!$E$2:$E$251,"&lt;&gt;Withdrawn")&gt;0,"Yes","No"))</f>
        <v/>
      </c>
      <c r="I105" s="46" t="str">
        <f aca="false">IF(C105="","",IF(G105&lt;&gt;"Waiting",G105,IF(H105="Yes","● Ready to pick up","Waiting")))</f>
        <v/>
      </c>
      <c r="J105" s="46"/>
      <c r="K105" s="46"/>
    </row>
    <row r="106" customFormat="false" ht="15" hidden="false" customHeight="false" outlineLevel="0" collapsed="false">
      <c r="A106" s="46" t="s">
        <v>2955</v>
      </c>
      <c r="B106" s="46"/>
      <c r="C106" s="46"/>
      <c r="D106" s="46"/>
      <c r="E106" s="46"/>
      <c r="F106" s="46"/>
      <c r="G106" s="46"/>
      <c r="H106" s="46" t="str">
        <f aca="false">IF(C106="","",IF(COUNTIFS(Drafts!$A$2:$A$251,C106,Drafts!$E$2:$E$251,"&lt;&gt;Adopted",Drafts!$E$2:$E$251,"&lt;&gt;Withdrawn")&gt;0,"Yes","No"))</f>
        <v/>
      </c>
      <c r="I106" s="46" t="str">
        <f aca="false">IF(C106="","",IF(G106&lt;&gt;"Waiting",G106,IF(H106="Yes","● Ready to pick up","Waiting")))</f>
        <v/>
      </c>
      <c r="J106" s="46"/>
      <c r="K106" s="46"/>
    </row>
    <row r="107" customFormat="false" ht="15" hidden="false" customHeight="false" outlineLevel="0" collapsed="false">
      <c r="A107" s="46" t="s">
        <v>2956</v>
      </c>
      <c r="B107" s="46"/>
      <c r="C107" s="46"/>
      <c r="D107" s="46"/>
      <c r="E107" s="46"/>
      <c r="F107" s="46"/>
      <c r="G107" s="46"/>
      <c r="H107" s="46" t="str">
        <f aca="false">IF(C107="","",IF(COUNTIFS(Drafts!$A$2:$A$251,C107,Drafts!$E$2:$E$251,"&lt;&gt;Adopted",Drafts!$E$2:$E$251,"&lt;&gt;Withdrawn")&gt;0,"Yes","No"))</f>
        <v/>
      </c>
      <c r="I107" s="46" t="str">
        <f aca="false">IF(C107="","",IF(G107&lt;&gt;"Waiting",G107,IF(H107="Yes","● Ready to pick up","Waiting")))</f>
        <v/>
      </c>
      <c r="J107" s="46"/>
      <c r="K107" s="46"/>
    </row>
    <row r="108" customFormat="false" ht="15" hidden="false" customHeight="false" outlineLevel="0" collapsed="false">
      <c r="A108" s="46" t="s">
        <v>2957</v>
      </c>
      <c r="B108" s="46"/>
      <c r="C108" s="46"/>
      <c r="D108" s="46"/>
      <c r="E108" s="46"/>
      <c r="F108" s="46"/>
      <c r="G108" s="46"/>
      <c r="H108" s="46" t="str">
        <f aca="false">IF(C108="","",IF(COUNTIFS(Drafts!$A$2:$A$251,C108,Drafts!$E$2:$E$251,"&lt;&gt;Adopted",Drafts!$E$2:$E$251,"&lt;&gt;Withdrawn")&gt;0,"Yes","No"))</f>
        <v/>
      </c>
      <c r="I108" s="46" t="str">
        <f aca="false">IF(C108="","",IF(G108&lt;&gt;"Waiting",G108,IF(H108="Yes","● Ready to pick up","Waiting")))</f>
        <v/>
      </c>
      <c r="J108" s="46"/>
      <c r="K108" s="46"/>
    </row>
    <row r="109" customFormat="false" ht="15" hidden="false" customHeight="false" outlineLevel="0" collapsed="false">
      <c r="A109" s="46" t="s">
        <v>2958</v>
      </c>
      <c r="B109" s="46"/>
      <c r="C109" s="46"/>
      <c r="D109" s="46"/>
      <c r="E109" s="46"/>
      <c r="F109" s="46"/>
      <c r="G109" s="46"/>
      <c r="H109" s="46" t="str">
        <f aca="false">IF(C109="","",IF(COUNTIFS(Drafts!$A$2:$A$251,C109,Drafts!$E$2:$E$251,"&lt;&gt;Adopted",Drafts!$E$2:$E$251,"&lt;&gt;Withdrawn")&gt;0,"Yes","No"))</f>
        <v/>
      </c>
      <c r="I109" s="46" t="str">
        <f aca="false">IF(C109="","",IF(G109&lt;&gt;"Waiting",G109,IF(H109="Yes","● Ready to pick up","Waiting")))</f>
        <v/>
      </c>
      <c r="J109" s="46"/>
      <c r="K109" s="46"/>
    </row>
    <row r="110" customFormat="false" ht="15" hidden="false" customHeight="false" outlineLevel="0" collapsed="false">
      <c r="A110" s="46" t="s">
        <v>2959</v>
      </c>
      <c r="B110" s="46"/>
      <c r="C110" s="46"/>
      <c r="D110" s="46"/>
      <c r="E110" s="46"/>
      <c r="F110" s="46"/>
      <c r="G110" s="46"/>
      <c r="H110" s="46" t="str">
        <f aca="false">IF(C110="","",IF(COUNTIFS(Drafts!$A$2:$A$251,C110,Drafts!$E$2:$E$251,"&lt;&gt;Adopted",Drafts!$E$2:$E$251,"&lt;&gt;Withdrawn")&gt;0,"Yes","No"))</f>
        <v/>
      </c>
      <c r="I110" s="46" t="str">
        <f aca="false">IF(C110="","",IF(G110&lt;&gt;"Waiting",G110,IF(H110="Yes","● Ready to pick up","Waiting")))</f>
        <v/>
      </c>
      <c r="J110" s="46"/>
      <c r="K110" s="46"/>
    </row>
    <row r="111" customFormat="false" ht="15" hidden="false" customHeight="false" outlineLevel="0" collapsed="false">
      <c r="A111" s="46" t="s">
        <v>2960</v>
      </c>
      <c r="B111" s="46"/>
      <c r="C111" s="46"/>
      <c r="D111" s="46"/>
      <c r="E111" s="46"/>
      <c r="F111" s="46"/>
      <c r="G111" s="46"/>
      <c r="H111" s="46" t="str">
        <f aca="false">IF(C111="","",IF(COUNTIFS(Drafts!$A$2:$A$251,C111,Drafts!$E$2:$E$251,"&lt;&gt;Adopted",Drafts!$E$2:$E$251,"&lt;&gt;Withdrawn")&gt;0,"Yes","No"))</f>
        <v/>
      </c>
      <c r="I111" s="46" t="str">
        <f aca="false">IF(C111="","",IF(G111&lt;&gt;"Waiting",G111,IF(H111="Yes","● Ready to pick up","Waiting")))</f>
        <v/>
      </c>
      <c r="J111" s="46"/>
      <c r="K111" s="46"/>
    </row>
    <row r="112" customFormat="false" ht="15" hidden="false" customHeight="false" outlineLevel="0" collapsed="false">
      <c r="A112" s="46" t="s">
        <v>2961</v>
      </c>
      <c r="B112" s="46"/>
      <c r="C112" s="46"/>
      <c r="D112" s="46"/>
      <c r="E112" s="46"/>
      <c r="F112" s="46"/>
      <c r="G112" s="46"/>
      <c r="H112" s="46" t="str">
        <f aca="false">IF(C112="","",IF(COUNTIFS(Drafts!$A$2:$A$251,C112,Drafts!$E$2:$E$251,"&lt;&gt;Adopted",Drafts!$E$2:$E$251,"&lt;&gt;Withdrawn")&gt;0,"Yes","No"))</f>
        <v/>
      </c>
      <c r="I112" s="46" t="str">
        <f aca="false">IF(C112="","",IF(G112&lt;&gt;"Waiting",G112,IF(H112="Yes","● Ready to pick up","Waiting")))</f>
        <v/>
      </c>
      <c r="J112" s="46"/>
      <c r="K112" s="46"/>
    </row>
    <row r="113" customFormat="false" ht="15" hidden="false" customHeight="false" outlineLevel="0" collapsed="false">
      <c r="A113" s="46" t="s">
        <v>2962</v>
      </c>
      <c r="B113" s="46"/>
      <c r="C113" s="46"/>
      <c r="D113" s="46"/>
      <c r="E113" s="46"/>
      <c r="F113" s="46"/>
      <c r="G113" s="46"/>
      <c r="H113" s="46" t="str">
        <f aca="false">IF(C113="","",IF(COUNTIFS(Drafts!$A$2:$A$251,C113,Drafts!$E$2:$E$251,"&lt;&gt;Adopted",Drafts!$E$2:$E$251,"&lt;&gt;Withdrawn")&gt;0,"Yes","No"))</f>
        <v/>
      </c>
      <c r="I113" s="46" t="str">
        <f aca="false">IF(C113="","",IF(G113&lt;&gt;"Waiting",G113,IF(H113="Yes","● Ready to pick up","Waiting")))</f>
        <v/>
      </c>
      <c r="J113" s="46"/>
      <c r="K113" s="46"/>
    </row>
    <row r="114" customFormat="false" ht="15" hidden="false" customHeight="false" outlineLevel="0" collapsed="false">
      <c r="A114" s="46" t="s">
        <v>2963</v>
      </c>
      <c r="B114" s="46"/>
      <c r="C114" s="46"/>
      <c r="D114" s="46"/>
      <c r="E114" s="46"/>
      <c r="F114" s="46"/>
      <c r="G114" s="46"/>
      <c r="H114" s="46" t="str">
        <f aca="false">IF(C114="","",IF(COUNTIFS(Drafts!$A$2:$A$251,C114,Drafts!$E$2:$E$251,"&lt;&gt;Adopted",Drafts!$E$2:$E$251,"&lt;&gt;Withdrawn")&gt;0,"Yes","No"))</f>
        <v/>
      </c>
      <c r="I114" s="46" t="str">
        <f aca="false">IF(C114="","",IF(G114&lt;&gt;"Waiting",G114,IF(H114="Yes","● Ready to pick up","Waiting")))</f>
        <v/>
      </c>
      <c r="J114" s="46"/>
      <c r="K114" s="46"/>
    </row>
    <row r="115" customFormat="false" ht="15" hidden="false" customHeight="false" outlineLevel="0" collapsed="false">
      <c r="A115" s="46" t="s">
        <v>2964</v>
      </c>
      <c r="B115" s="46"/>
      <c r="C115" s="46"/>
      <c r="D115" s="46"/>
      <c r="E115" s="46"/>
      <c r="F115" s="46"/>
      <c r="G115" s="46"/>
      <c r="H115" s="46" t="str">
        <f aca="false">IF(C115="","",IF(COUNTIFS(Drafts!$A$2:$A$251,C115,Drafts!$E$2:$E$251,"&lt;&gt;Adopted",Drafts!$E$2:$E$251,"&lt;&gt;Withdrawn")&gt;0,"Yes","No"))</f>
        <v/>
      </c>
      <c r="I115" s="46" t="str">
        <f aca="false">IF(C115="","",IF(G115&lt;&gt;"Waiting",G115,IF(H115="Yes","● Ready to pick up","Waiting")))</f>
        <v/>
      </c>
      <c r="J115" s="46"/>
      <c r="K115" s="46"/>
    </row>
    <row r="116" customFormat="false" ht="15" hidden="false" customHeight="false" outlineLevel="0" collapsed="false">
      <c r="A116" s="46" t="s">
        <v>2965</v>
      </c>
      <c r="B116" s="46"/>
      <c r="C116" s="46"/>
      <c r="D116" s="46"/>
      <c r="E116" s="46"/>
      <c r="F116" s="46"/>
      <c r="G116" s="46"/>
      <c r="H116" s="46" t="str">
        <f aca="false">IF(C116="","",IF(COUNTIFS(Drafts!$A$2:$A$251,C116,Drafts!$E$2:$E$251,"&lt;&gt;Adopted",Drafts!$E$2:$E$251,"&lt;&gt;Withdrawn")&gt;0,"Yes","No"))</f>
        <v/>
      </c>
      <c r="I116" s="46" t="str">
        <f aca="false">IF(C116="","",IF(G116&lt;&gt;"Waiting",G116,IF(H116="Yes","● Ready to pick up","Waiting")))</f>
        <v/>
      </c>
      <c r="J116" s="46"/>
      <c r="K116" s="46"/>
    </row>
    <row r="117" customFormat="false" ht="15" hidden="false" customHeight="false" outlineLevel="0" collapsed="false">
      <c r="A117" s="46" t="s">
        <v>2966</v>
      </c>
      <c r="B117" s="46"/>
      <c r="C117" s="46"/>
      <c r="D117" s="46"/>
      <c r="E117" s="46"/>
      <c r="F117" s="46"/>
      <c r="G117" s="46"/>
      <c r="H117" s="46" t="str">
        <f aca="false">IF(C117="","",IF(COUNTIFS(Drafts!$A$2:$A$251,C117,Drafts!$E$2:$E$251,"&lt;&gt;Adopted",Drafts!$E$2:$E$251,"&lt;&gt;Withdrawn")&gt;0,"Yes","No"))</f>
        <v/>
      </c>
      <c r="I117" s="46" t="str">
        <f aca="false">IF(C117="","",IF(G117&lt;&gt;"Waiting",G117,IF(H117="Yes","● Ready to pick up","Waiting")))</f>
        <v/>
      </c>
      <c r="J117" s="46"/>
      <c r="K117" s="46"/>
    </row>
    <row r="118" customFormat="false" ht="15" hidden="false" customHeight="false" outlineLevel="0" collapsed="false">
      <c r="A118" s="46" t="s">
        <v>2967</v>
      </c>
      <c r="B118" s="46"/>
      <c r="C118" s="46"/>
      <c r="D118" s="46"/>
      <c r="E118" s="46"/>
      <c r="F118" s="46"/>
      <c r="G118" s="46"/>
      <c r="H118" s="46" t="str">
        <f aca="false">IF(C118="","",IF(COUNTIFS(Drafts!$A$2:$A$251,C118,Drafts!$E$2:$E$251,"&lt;&gt;Adopted",Drafts!$E$2:$E$251,"&lt;&gt;Withdrawn")&gt;0,"Yes","No"))</f>
        <v/>
      </c>
      <c r="I118" s="46" t="str">
        <f aca="false">IF(C118="","",IF(G118&lt;&gt;"Waiting",G118,IF(H118="Yes","● Ready to pick up","Waiting")))</f>
        <v/>
      </c>
      <c r="J118" s="46"/>
      <c r="K118" s="46"/>
    </row>
    <row r="119" customFormat="false" ht="15" hidden="false" customHeight="false" outlineLevel="0" collapsed="false">
      <c r="A119" s="46" t="s">
        <v>2968</v>
      </c>
      <c r="B119" s="46"/>
      <c r="C119" s="46"/>
      <c r="D119" s="46"/>
      <c r="E119" s="46"/>
      <c r="F119" s="46"/>
      <c r="G119" s="46"/>
      <c r="H119" s="46" t="str">
        <f aca="false">IF(C119="","",IF(COUNTIFS(Drafts!$A$2:$A$251,C119,Drafts!$E$2:$E$251,"&lt;&gt;Adopted",Drafts!$E$2:$E$251,"&lt;&gt;Withdrawn")&gt;0,"Yes","No"))</f>
        <v/>
      </c>
      <c r="I119" s="46" t="str">
        <f aca="false">IF(C119="","",IF(G119&lt;&gt;"Waiting",G119,IF(H119="Yes","● Ready to pick up","Waiting")))</f>
        <v/>
      </c>
      <c r="J119" s="46"/>
      <c r="K119" s="46"/>
    </row>
    <row r="120" customFormat="false" ht="15" hidden="false" customHeight="false" outlineLevel="0" collapsed="false">
      <c r="A120" s="46" t="s">
        <v>2969</v>
      </c>
      <c r="B120" s="46"/>
      <c r="C120" s="46"/>
      <c r="D120" s="46"/>
      <c r="E120" s="46"/>
      <c r="F120" s="46"/>
      <c r="G120" s="46"/>
      <c r="H120" s="46" t="str">
        <f aca="false">IF(C120="","",IF(COUNTIFS(Drafts!$A$2:$A$251,C120,Drafts!$E$2:$E$251,"&lt;&gt;Adopted",Drafts!$E$2:$E$251,"&lt;&gt;Withdrawn")&gt;0,"Yes","No"))</f>
        <v/>
      </c>
      <c r="I120" s="46" t="str">
        <f aca="false">IF(C120="","",IF(G120&lt;&gt;"Waiting",G120,IF(H120="Yes","● Ready to pick up","Waiting")))</f>
        <v/>
      </c>
      <c r="J120" s="46"/>
      <c r="K120" s="46"/>
    </row>
    <row r="121" customFormat="false" ht="15" hidden="false" customHeight="false" outlineLevel="0" collapsed="false">
      <c r="A121" s="46" t="s">
        <v>2970</v>
      </c>
      <c r="B121" s="46"/>
      <c r="C121" s="46"/>
      <c r="D121" s="46"/>
      <c r="E121" s="46"/>
      <c r="F121" s="46"/>
      <c r="G121" s="46"/>
      <c r="H121" s="46" t="str">
        <f aca="false">IF(C121="","",IF(COUNTIFS(Drafts!$A$2:$A$251,C121,Drafts!$E$2:$E$251,"&lt;&gt;Adopted",Drafts!$E$2:$E$251,"&lt;&gt;Withdrawn")&gt;0,"Yes","No"))</f>
        <v/>
      </c>
      <c r="I121" s="46" t="str">
        <f aca="false">IF(C121="","",IF(G121&lt;&gt;"Waiting",G121,IF(H121="Yes","● Ready to pick up","Waiting")))</f>
        <v/>
      </c>
      <c r="J121" s="46"/>
      <c r="K121" s="46"/>
    </row>
    <row r="122" customFormat="false" ht="15" hidden="false" customHeight="false" outlineLevel="0" collapsed="false">
      <c r="A122" s="46" t="s">
        <v>2971</v>
      </c>
      <c r="B122" s="46"/>
      <c r="C122" s="46"/>
      <c r="D122" s="46"/>
      <c r="E122" s="46"/>
      <c r="F122" s="46"/>
      <c r="G122" s="46"/>
      <c r="H122" s="46" t="str">
        <f aca="false">IF(C122="","",IF(COUNTIFS(Drafts!$A$2:$A$251,C122,Drafts!$E$2:$E$251,"&lt;&gt;Adopted",Drafts!$E$2:$E$251,"&lt;&gt;Withdrawn")&gt;0,"Yes","No"))</f>
        <v/>
      </c>
      <c r="I122" s="46" t="str">
        <f aca="false">IF(C122="","",IF(G122&lt;&gt;"Waiting",G122,IF(H122="Yes","● Ready to pick up","Waiting")))</f>
        <v/>
      </c>
      <c r="J122" s="46"/>
      <c r="K122" s="46"/>
    </row>
    <row r="123" customFormat="false" ht="15" hidden="false" customHeight="false" outlineLevel="0" collapsed="false">
      <c r="A123" s="46" t="s">
        <v>2972</v>
      </c>
      <c r="B123" s="46"/>
      <c r="C123" s="46"/>
      <c r="D123" s="46"/>
      <c r="E123" s="46"/>
      <c r="F123" s="46"/>
      <c r="G123" s="46"/>
      <c r="H123" s="46" t="str">
        <f aca="false">IF(C123="","",IF(COUNTIFS(Drafts!$A$2:$A$251,C123,Drafts!$E$2:$E$251,"&lt;&gt;Adopted",Drafts!$E$2:$E$251,"&lt;&gt;Withdrawn")&gt;0,"Yes","No"))</f>
        <v/>
      </c>
      <c r="I123" s="46" t="str">
        <f aca="false">IF(C123="","",IF(G123&lt;&gt;"Waiting",G123,IF(H123="Yes","● Ready to pick up","Waiting")))</f>
        <v/>
      </c>
      <c r="J123" s="46"/>
      <c r="K123" s="46"/>
    </row>
    <row r="124" customFormat="false" ht="15" hidden="false" customHeight="false" outlineLevel="0" collapsed="false">
      <c r="A124" s="46" t="s">
        <v>2973</v>
      </c>
      <c r="B124" s="46"/>
      <c r="C124" s="46"/>
      <c r="D124" s="46"/>
      <c r="E124" s="46"/>
      <c r="F124" s="46"/>
      <c r="G124" s="46"/>
      <c r="H124" s="46" t="str">
        <f aca="false">IF(C124="","",IF(COUNTIFS(Drafts!$A$2:$A$251,C124,Drafts!$E$2:$E$251,"&lt;&gt;Adopted",Drafts!$E$2:$E$251,"&lt;&gt;Withdrawn")&gt;0,"Yes","No"))</f>
        <v/>
      </c>
      <c r="I124" s="46" t="str">
        <f aca="false">IF(C124="","",IF(G124&lt;&gt;"Waiting",G124,IF(H124="Yes","● Ready to pick up","Waiting")))</f>
        <v/>
      </c>
      <c r="J124" s="46"/>
      <c r="K124" s="46"/>
    </row>
    <row r="125" customFormat="false" ht="15" hidden="false" customHeight="false" outlineLevel="0" collapsed="false">
      <c r="A125" s="46" t="s">
        <v>2974</v>
      </c>
      <c r="B125" s="46"/>
      <c r="C125" s="46"/>
      <c r="D125" s="46"/>
      <c r="E125" s="46"/>
      <c r="F125" s="46"/>
      <c r="G125" s="46"/>
      <c r="H125" s="46" t="str">
        <f aca="false">IF(C125="","",IF(COUNTIFS(Drafts!$A$2:$A$251,C125,Drafts!$E$2:$E$251,"&lt;&gt;Adopted",Drafts!$E$2:$E$251,"&lt;&gt;Withdrawn")&gt;0,"Yes","No"))</f>
        <v/>
      </c>
      <c r="I125" s="46" t="str">
        <f aca="false">IF(C125="","",IF(G125&lt;&gt;"Waiting",G125,IF(H125="Yes","● Ready to pick up","Waiting")))</f>
        <v/>
      </c>
      <c r="J125" s="46"/>
      <c r="K125" s="46"/>
    </row>
    <row r="126" customFormat="false" ht="15" hidden="false" customHeight="false" outlineLevel="0" collapsed="false">
      <c r="A126" s="46" t="s">
        <v>2975</v>
      </c>
      <c r="B126" s="46"/>
      <c r="C126" s="46"/>
      <c r="D126" s="46"/>
      <c r="E126" s="46"/>
      <c r="F126" s="46"/>
      <c r="G126" s="46"/>
      <c r="H126" s="46" t="str">
        <f aca="false">IF(C126="","",IF(COUNTIFS(Drafts!$A$2:$A$251,C126,Drafts!$E$2:$E$251,"&lt;&gt;Adopted",Drafts!$E$2:$E$251,"&lt;&gt;Withdrawn")&gt;0,"Yes","No"))</f>
        <v/>
      </c>
      <c r="I126" s="46" t="str">
        <f aca="false">IF(C126="","",IF(G126&lt;&gt;"Waiting",G126,IF(H126="Yes","● Ready to pick up","Waiting")))</f>
        <v/>
      </c>
      <c r="J126" s="46"/>
      <c r="K126" s="46"/>
    </row>
    <row r="127" customFormat="false" ht="15" hidden="false" customHeight="false" outlineLevel="0" collapsed="false">
      <c r="A127" s="46" t="s">
        <v>2976</v>
      </c>
      <c r="B127" s="46"/>
      <c r="C127" s="46"/>
      <c r="D127" s="46"/>
      <c r="E127" s="46"/>
      <c r="F127" s="46"/>
      <c r="G127" s="46"/>
      <c r="H127" s="46" t="str">
        <f aca="false">IF(C127="","",IF(COUNTIFS(Drafts!$A$2:$A$251,C127,Drafts!$E$2:$E$251,"&lt;&gt;Adopted",Drafts!$E$2:$E$251,"&lt;&gt;Withdrawn")&gt;0,"Yes","No"))</f>
        <v/>
      </c>
      <c r="I127" s="46" t="str">
        <f aca="false">IF(C127="","",IF(G127&lt;&gt;"Waiting",G127,IF(H127="Yes","● Ready to pick up","Waiting")))</f>
        <v/>
      </c>
      <c r="J127" s="46"/>
      <c r="K127" s="46"/>
    </row>
    <row r="128" customFormat="false" ht="15" hidden="false" customHeight="false" outlineLevel="0" collapsed="false">
      <c r="A128" s="46" t="s">
        <v>2977</v>
      </c>
      <c r="B128" s="46"/>
      <c r="C128" s="46"/>
      <c r="D128" s="46"/>
      <c r="E128" s="46"/>
      <c r="F128" s="46"/>
      <c r="G128" s="46"/>
      <c r="H128" s="46" t="str">
        <f aca="false">IF(C128="","",IF(COUNTIFS(Drafts!$A$2:$A$251,C128,Drafts!$E$2:$E$251,"&lt;&gt;Adopted",Drafts!$E$2:$E$251,"&lt;&gt;Withdrawn")&gt;0,"Yes","No"))</f>
        <v/>
      </c>
      <c r="I128" s="46" t="str">
        <f aca="false">IF(C128="","",IF(G128&lt;&gt;"Waiting",G128,IF(H128="Yes","● Ready to pick up","Waiting")))</f>
        <v/>
      </c>
      <c r="J128" s="46"/>
      <c r="K128" s="46"/>
    </row>
    <row r="129" customFormat="false" ht="15" hidden="false" customHeight="false" outlineLevel="0" collapsed="false">
      <c r="A129" s="46" t="s">
        <v>2978</v>
      </c>
      <c r="B129" s="46"/>
      <c r="C129" s="46"/>
      <c r="D129" s="46"/>
      <c r="E129" s="46"/>
      <c r="F129" s="46"/>
      <c r="G129" s="46"/>
      <c r="H129" s="46" t="str">
        <f aca="false">IF(C129="","",IF(COUNTIFS(Drafts!$A$2:$A$251,C129,Drafts!$E$2:$E$251,"&lt;&gt;Adopted",Drafts!$E$2:$E$251,"&lt;&gt;Withdrawn")&gt;0,"Yes","No"))</f>
        <v/>
      </c>
      <c r="I129" s="46" t="str">
        <f aca="false">IF(C129="","",IF(G129&lt;&gt;"Waiting",G129,IF(H129="Yes","● Ready to pick up","Waiting")))</f>
        <v/>
      </c>
      <c r="J129" s="46"/>
      <c r="K129" s="46"/>
    </row>
    <row r="130" customFormat="false" ht="15" hidden="false" customHeight="false" outlineLevel="0" collapsed="false">
      <c r="A130" s="46" t="s">
        <v>2979</v>
      </c>
      <c r="B130" s="46"/>
      <c r="C130" s="46"/>
      <c r="D130" s="46"/>
      <c r="E130" s="46"/>
      <c r="F130" s="46"/>
      <c r="G130" s="46"/>
      <c r="H130" s="46" t="str">
        <f aca="false">IF(C130="","",IF(COUNTIFS(Drafts!$A$2:$A$251,C130,Drafts!$E$2:$E$251,"&lt;&gt;Adopted",Drafts!$E$2:$E$251,"&lt;&gt;Withdrawn")&gt;0,"Yes","No"))</f>
        <v/>
      </c>
      <c r="I130" s="46" t="str">
        <f aca="false">IF(C130="","",IF(G130&lt;&gt;"Waiting",G130,IF(H130="Yes","● Ready to pick up","Waiting")))</f>
        <v/>
      </c>
      <c r="J130" s="46"/>
      <c r="K130" s="46"/>
    </row>
    <row r="131" customFormat="false" ht="15" hidden="false" customHeight="false" outlineLevel="0" collapsed="false">
      <c r="A131" s="46" t="s">
        <v>2980</v>
      </c>
      <c r="B131" s="46"/>
      <c r="C131" s="46"/>
      <c r="D131" s="46"/>
      <c r="E131" s="46"/>
      <c r="F131" s="46"/>
      <c r="G131" s="46"/>
      <c r="H131" s="46" t="str">
        <f aca="false">IF(C131="","",IF(COUNTIFS(Drafts!$A$2:$A$251,C131,Drafts!$E$2:$E$251,"&lt;&gt;Adopted",Drafts!$E$2:$E$251,"&lt;&gt;Withdrawn")&gt;0,"Yes","No"))</f>
        <v/>
      </c>
      <c r="I131" s="46" t="str">
        <f aca="false">IF(C131="","",IF(G131&lt;&gt;"Waiting",G131,IF(H131="Yes","● Ready to pick up","Waiting")))</f>
        <v/>
      </c>
      <c r="J131" s="46"/>
      <c r="K131" s="46"/>
    </row>
    <row r="132" customFormat="false" ht="15" hidden="false" customHeight="false" outlineLevel="0" collapsed="false">
      <c r="A132" s="46" t="s">
        <v>2981</v>
      </c>
      <c r="B132" s="46"/>
      <c r="C132" s="46"/>
      <c r="D132" s="46"/>
      <c r="E132" s="46"/>
      <c r="F132" s="46"/>
      <c r="G132" s="46"/>
      <c r="H132" s="46" t="str">
        <f aca="false">IF(C132="","",IF(COUNTIFS(Drafts!$A$2:$A$251,C132,Drafts!$E$2:$E$251,"&lt;&gt;Adopted",Drafts!$E$2:$E$251,"&lt;&gt;Withdrawn")&gt;0,"Yes","No"))</f>
        <v/>
      </c>
      <c r="I132" s="46" t="str">
        <f aca="false">IF(C132="","",IF(G132&lt;&gt;"Waiting",G132,IF(H132="Yes","● Ready to pick up","Waiting")))</f>
        <v/>
      </c>
      <c r="J132" s="46"/>
      <c r="K132" s="46"/>
    </row>
    <row r="133" customFormat="false" ht="15" hidden="false" customHeight="false" outlineLevel="0" collapsed="false">
      <c r="A133" s="46" t="s">
        <v>2982</v>
      </c>
      <c r="B133" s="46"/>
      <c r="C133" s="46"/>
      <c r="D133" s="46"/>
      <c r="E133" s="46"/>
      <c r="F133" s="46"/>
      <c r="G133" s="46"/>
      <c r="H133" s="46" t="str">
        <f aca="false">IF(C133="","",IF(COUNTIFS(Drafts!$A$2:$A$251,C133,Drafts!$E$2:$E$251,"&lt;&gt;Adopted",Drafts!$E$2:$E$251,"&lt;&gt;Withdrawn")&gt;0,"Yes","No"))</f>
        <v/>
      </c>
      <c r="I133" s="46" t="str">
        <f aca="false">IF(C133="","",IF(G133&lt;&gt;"Waiting",G133,IF(H133="Yes","● Ready to pick up","Waiting")))</f>
        <v/>
      </c>
      <c r="J133" s="46"/>
      <c r="K133" s="46"/>
    </row>
    <row r="134" customFormat="false" ht="15" hidden="false" customHeight="false" outlineLevel="0" collapsed="false">
      <c r="A134" s="46" t="s">
        <v>2983</v>
      </c>
      <c r="B134" s="46"/>
      <c r="C134" s="46"/>
      <c r="D134" s="46"/>
      <c r="E134" s="46"/>
      <c r="F134" s="46"/>
      <c r="G134" s="46"/>
      <c r="H134" s="46" t="str">
        <f aca="false">IF(C134="","",IF(COUNTIFS(Drafts!$A$2:$A$251,C134,Drafts!$E$2:$E$251,"&lt;&gt;Adopted",Drafts!$E$2:$E$251,"&lt;&gt;Withdrawn")&gt;0,"Yes","No"))</f>
        <v/>
      </c>
      <c r="I134" s="46" t="str">
        <f aca="false">IF(C134="","",IF(G134&lt;&gt;"Waiting",G134,IF(H134="Yes","● Ready to pick up","Waiting")))</f>
        <v/>
      </c>
      <c r="J134" s="46"/>
      <c r="K134" s="46"/>
    </row>
    <row r="135" customFormat="false" ht="15" hidden="false" customHeight="false" outlineLevel="0" collapsed="false">
      <c r="A135" s="46" t="s">
        <v>2984</v>
      </c>
      <c r="B135" s="46"/>
      <c r="C135" s="46"/>
      <c r="D135" s="46"/>
      <c r="E135" s="46"/>
      <c r="F135" s="46"/>
      <c r="G135" s="46"/>
      <c r="H135" s="46" t="str">
        <f aca="false">IF(C135="","",IF(COUNTIFS(Drafts!$A$2:$A$251,C135,Drafts!$E$2:$E$251,"&lt;&gt;Adopted",Drafts!$E$2:$E$251,"&lt;&gt;Withdrawn")&gt;0,"Yes","No"))</f>
        <v/>
      </c>
      <c r="I135" s="46" t="str">
        <f aca="false">IF(C135="","",IF(G135&lt;&gt;"Waiting",G135,IF(H135="Yes","● Ready to pick up","Waiting")))</f>
        <v/>
      </c>
      <c r="J135" s="46"/>
      <c r="K135" s="46"/>
    </row>
    <row r="136" customFormat="false" ht="15" hidden="false" customHeight="false" outlineLevel="0" collapsed="false">
      <c r="A136" s="46" t="s">
        <v>2985</v>
      </c>
      <c r="B136" s="46"/>
      <c r="C136" s="46"/>
      <c r="D136" s="46"/>
      <c r="E136" s="46"/>
      <c r="F136" s="46"/>
      <c r="G136" s="46"/>
      <c r="H136" s="46" t="str">
        <f aca="false">IF(C136="","",IF(COUNTIFS(Drafts!$A$2:$A$251,C136,Drafts!$E$2:$E$251,"&lt;&gt;Adopted",Drafts!$E$2:$E$251,"&lt;&gt;Withdrawn")&gt;0,"Yes","No"))</f>
        <v/>
      </c>
      <c r="I136" s="46" t="str">
        <f aca="false">IF(C136="","",IF(G136&lt;&gt;"Waiting",G136,IF(H136="Yes","● Ready to pick up","Waiting")))</f>
        <v/>
      </c>
      <c r="J136" s="46"/>
      <c r="K136" s="46"/>
    </row>
    <row r="137" customFormat="false" ht="15" hidden="false" customHeight="false" outlineLevel="0" collapsed="false">
      <c r="A137" s="46" t="s">
        <v>2986</v>
      </c>
      <c r="B137" s="46"/>
      <c r="C137" s="46"/>
      <c r="D137" s="46"/>
      <c r="E137" s="46"/>
      <c r="F137" s="46"/>
      <c r="G137" s="46"/>
      <c r="H137" s="46" t="str">
        <f aca="false">IF(C137="","",IF(COUNTIFS(Drafts!$A$2:$A$251,C137,Drafts!$E$2:$E$251,"&lt;&gt;Adopted",Drafts!$E$2:$E$251,"&lt;&gt;Withdrawn")&gt;0,"Yes","No"))</f>
        <v/>
      </c>
      <c r="I137" s="46" t="str">
        <f aca="false">IF(C137="","",IF(G137&lt;&gt;"Waiting",G137,IF(H137="Yes","● Ready to pick up","Waiting")))</f>
        <v/>
      </c>
      <c r="J137" s="46"/>
      <c r="K137" s="46"/>
    </row>
    <row r="138" customFormat="false" ht="15" hidden="false" customHeight="false" outlineLevel="0" collapsed="false">
      <c r="A138" s="46" t="s">
        <v>2987</v>
      </c>
      <c r="B138" s="46"/>
      <c r="C138" s="46"/>
      <c r="D138" s="46"/>
      <c r="E138" s="46"/>
      <c r="F138" s="46"/>
      <c r="G138" s="46"/>
      <c r="H138" s="46" t="str">
        <f aca="false">IF(C138="","",IF(COUNTIFS(Drafts!$A$2:$A$251,C138,Drafts!$E$2:$E$251,"&lt;&gt;Adopted",Drafts!$E$2:$E$251,"&lt;&gt;Withdrawn")&gt;0,"Yes","No"))</f>
        <v/>
      </c>
      <c r="I138" s="46" t="str">
        <f aca="false">IF(C138="","",IF(G138&lt;&gt;"Waiting",G138,IF(H138="Yes","● Ready to pick up","Waiting")))</f>
        <v/>
      </c>
      <c r="J138" s="46"/>
      <c r="K138" s="46"/>
    </row>
    <row r="139" customFormat="false" ht="15" hidden="false" customHeight="false" outlineLevel="0" collapsed="false">
      <c r="A139" s="46" t="s">
        <v>2988</v>
      </c>
      <c r="B139" s="46"/>
      <c r="C139" s="46"/>
      <c r="D139" s="46"/>
      <c r="E139" s="46"/>
      <c r="F139" s="46"/>
      <c r="G139" s="46"/>
      <c r="H139" s="46" t="str">
        <f aca="false">IF(C139="","",IF(COUNTIFS(Drafts!$A$2:$A$251,C139,Drafts!$E$2:$E$251,"&lt;&gt;Adopted",Drafts!$E$2:$E$251,"&lt;&gt;Withdrawn")&gt;0,"Yes","No"))</f>
        <v/>
      </c>
      <c r="I139" s="46" t="str">
        <f aca="false">IF(C139="","",IF(G139&lt;&gt;"Waiting",G139,IF(H139="Yes","● Ready to pick up","Waiting")))</f>
        <v/>
      </c>
      <c r="J139" s="46"/>
      <c r="K139" s="46"/>
    </row>
    <row r="140" customFormat="false" ht="15" hidden="false" customHeight="false" outlineLevel="0" collapsed="false">
      <c r="A140" s="46" t="s">
        <v>2989</v>
      </c>
      <c r="B140" s="46"/>
      <c r="C140" s="46"/>
      <c r="D140" s="46"/>
      <c r="E140" s="46"/>
      <c r="F140" s="46"/>
      <c r="G140" s="46"/>
      <c r="H140" s="46" t="str">
        <f aca="false">IF(C140="","",IF(COUNTIFS(Drafts!$A$2:$A$251,C140,Drafts!$E$2:$E$251,"&lt;&gt;Adopted",Drafts!$E$2:$E$251,"&lt;&gt;Withdrawn")&gt;0,"Yes","No"))</f>
        <v/>
      </c>
      <c r="I140" s="46" t="str">
        <f aca="false">IF(C140="","",IF(G140&lt;&gt;"Waiting",G140,IF(H140="Yes","● Ready to pick up","Waiting")))</f>
        <v/>
      </c>
      <c r="J140" s="46"/>
      <c r="K140" s="46"/>
    </row>
    <row r="141" customFormat="false" ht="15" hidden="false" customHeight="false" outlineLevel="0" collapsed="false">
      <c r="A141" s="46" t="s">
        <v>2990</v>
      </c>
      <c r="B141" s="46"/>
      <c r="C141" s="46"/>
      <c r="D141" s="46"/>
      <c r="E141" s="46"/>
      <c r="F141" s="46"/>
      <c r="G141" s="46"/>
      <c r="H141" s="46" t="str">
        <f aca="false">IF(C141="","",IF(COUNTIFS(Drafts!$A$2:$A$251,C141,Drafts!$E$2:$E$251,"&lt;&gt;Adopted",Drafts!$E$2:$E$251,"&lt;&gt;Withdrawn")&gt;0,"Yes","No"))</f>
        <v/>
      </c>
      <c r="I141" s="46" t="str">
        <f aca="false">IF(C141="","",IF(G141&lt;&gt;"Waiting",G141,IF(H141="Yes","● Ready to pick up","Waiting")))</f>
        <v/>
      </c>
      <c r="J141" s="46"/>
      <c r="K141" s="46"/>
    </row>
    <row r="142" customFormat="false" ht="15" hidden="false" customHeight="false" outlineLevel="0" collapsed="false">
      <c r="A142" s="46" t="s">
        <v>2991</v>
      </c>
      <c r="B142" s="46"/>
      <c r="C142" s="46"/>
      <c r="D142" s="46"/>
      <c r="E142" s="46"/>
      <c r="F142" s="46"/>
      <c r="G142" s="46"/>
      <c r="H142" s="46" t="str">
        <f aca="false">IF(C142="","",IF(COUNTIFS(Drafts!$A$2:$A$251,C142,Drafts!$E$2:$E$251,"&lt;&gt;Adopted",Drafts!$E$2:$E$251,"&lt;&gt;Withdrawn")&gt;0,"Yes","No"))</f>
        <v/>
      </c>
      <c r="I142" s="46" t="str">
        <f aca="false">IF(C142="","",IF(G142&lt;&gt;"Waiting",G142,IF(H142="Yes","● Ready to pick up","Waiting")))</f>
        <v/>
      </c>
      <c r="J142" s="46"/>
      <c r="K142" s="46"/>
    </row>
    <row r="143" customFormat="false" ht="15" hidden="false" customHeight="false" outlineLevel="0" collapsed="false">
      <c r="A143" s="46" t="s">
        <v>2992</v>
      </c>
      <c r="B143" s="46"/>
      <c r="C143" s="46"/>
      <c r="D143" s="46"/>
      <c r="E143" s="46"/>
      <c r="F143" s="46"/>
      <c r="G143" s="46"/>
      <c r="H143" s="46" t="str">
        <f aca="false">IF(C143="","",IF(COUNTIFS(Drafts!$A$2:$A$251,C143,Drafts!$E$2:$E$251,"&lt;&gt;Adopted",Drafts!$E$2:$E$251,"&lt;&gt;Withdrawn")&gt;0,"Yes","No"))</f>
        <v/>
      </c>
      <c r="I143" s="46" t="str">
        <f aca="false">IF(C143="","",IF(G143&lt;&gt;"Waiting",G143,IF(H143="Yes","● Ready to pick up","Waiting")))</f>
        <v/>
      </c>
      <c r="J143" s="46"/>
      <c r="K143" s="46"/>
    </row>
    <row r="144" customFormat="false" ht="15" hidden="false" customHeight="false" outlineLevel="0" collapsed="false">
      <c r="A144" s="46" t="s">
        <v>2993</v>
      </c>
      <c r="B144" s="46"/>
      <c r="C144" s="46"/>
      <c r="D144" s="46"/>
      <c r="E144" s="46"/>
      <c r="F144" s="46"/>
      <c r="G144" s="46"/>
      <c r="H144" s="46" t="str">
        <f aca="false">IF(C144="","",IF(COUNTIFS(Drafts!$A$2:$A$251,C144,Drafts!$E$2:$E$251,"&lt;&gt;Adopted",Drafts!$E$2:$E$251,"&lt;&gt;Withdrawn")&gt;0,"Yes","No"))</f>
        <v/>
      </c>
      <c r="I144" s="46" t="str">
        <f aca="false">IF(C144="","",IF(G144&lt;&gt;"Waiting",G144,IF(H144="Yes","● Ready to pick up","Waiting")))</f>
        <v/>
      </c>
      <c r="J144" s="46"/>
      <c r="K144" s="46"/>
    </row>
    <row r="145" customFormat="false" ht="15" hidden="false" customHeight="false" outlineLevel="0" collapsed="false">
      <c r="A145" s="46" t="s">
        <v>2994</v>
      </c>
      <c r="B145" s="46"/>
      <c r="C145" s="46"/>
      <c r="D145" s="46"/>
      <c r="E145" s="46"/>
      <c r="F145" s="46"/>
      <c r="G145" s="46"/>
      <c r="H145" s="46" t="str">
        <f aca="false">IF(C145="","",IF(COUNTIFS(Drafts!$A$2:$A$251,C145,Drafts!$E$2:$E$251,"&lt;&gt;Adopted",Drafts!$E$2:$E$251,"&lt;&gt;Withdrawn")&gt;0,"Yes","No"))</f>
        <v/>
      </c>
      <c r="I145" s="46" t="str">
        <f aca="false">IF(C145="","",IF(G145&lt;&gt;"Waiting",G145,IF(H145="Yes","● Ready to pick up","Waiting")))</f>
        <v/>
      </c>
      <c r="J145" s="46"/>
      <c r="K145" s="46"/>
    </row>
    <row r="146" customFormat="false" ht="15" hidden="false" customHeight="false" outlineLevel="0" collapsed="false">
      <c r="A146" s="46" t="s">
        <v>2995</v>
      </c>
      <c r="B146" s="46"/>
      <c r="C146" s="46"/>
      <c r="D146" s="46"/>
      <c r="E146" s="46"/>
      <c r="F146" s="46"/>
      <c r="G146" s="46"/>
      <c r="H146" s="46" t="str">
        <f aca="false">IF(C146="","",IF(COUNTIFS(Drafts!$A$2:$A$251,C146,Drafts!$E$2:$E$251,"&lt;&gt;Adopted",Drafts!$E$2:$E$251,"&lt;&gt;Withdrawn")&gt;0,"Yes","No"))</f>
        <v/>
      </c>
      <c r="I146" s="46" t="str">
        <f aca="false">IF(C146="","",IF(G146&lt;&gt;"Waiting",G146,IF(H146="Yes","● Ready to pick up","Waiting")))</f>
        <v/>
      </c>
      <c r="J146" s="46"/>
      <c r="K146" s="46"/>
    </row>
    <row r="147" customFormat="false" ht="15" hidden="false" customHeight="false" outlineLevel="0" collapsed="false">
      <c r="A147" s="46" t="s">
        <v>2996</v>
      </c>
      <c r="B147" s="46"/>
      <c r="C147" s="46"/>
      <c r="D147" s="46"/>
      <c r="E147" s="46"/>
      <c r="F147" s="46"/>
      <c r="G147" s="46"/>
      <c r="H147" s="46" t="str">
        <f aca="false">IF(C147="","",IF(COUNTIFS(Drafts!$A$2:$A$251,C147,Drafts!$E$2:$E$251,"&lt;&gt;Adopted",Drafts!$E$2:$E$251,"&lt;&gt;Withdrawn")&gt;0,"Yes","No"))</f>
        <v/>
      </c>
      <c r="I147" s="46" t="str">
        <f aca="false">IF(C147="","",IF(G147&lt;&gt;"Waiting",G147,IF(H147="Yes","● Ready to pick up","Waiting")))</f>
        <v/>
      </c>
      <c r="J147" s="46"/>
      <c r="K147" s="46"/>
    </row>
    <row r="148" customFormat="false" ht="15" hidden="false" customHeight="false" outlineLevel="0" collapsed="false">
      <c r="A148" s="46" t="s">
        <v>2997</v>
      </c>
      <c r="B148" s="46"/>
      <c r="C148" s="46"/>
      <c r="D148" s="46"/>
      <c r="E148" s="46"/>
      <c r="F148" s="46"/>
      <c r="G148" s="46"/>
      <c r="H148" s="46" t="str">
        <f aca="false">IF(C148="","",IF(COUNTIFS(Drafts!$A$2:$A$251,C148,Drafts!$E$2:$E$251,"&lt;&gt;Adopted",Drafts!$E$2:$E$251,"&lt;&gt;Withdrawn")&gt;0,"Yes","No"))</f>
        <v/>
      </c>
      <c r="I148" s="46" t="str">
        <f aca="false">IF(C148="","",IF(G148&lt;&gt;"Waiting",G148,IF(H148="Yes","● Ready to pick up","Waiting")))</f>
        <v/>
      </c>
      <c r="J148" s="46"/>
      <c r="K148" s="46"/>
    </row>
    <row r="149" customFormat="false" ht="15" hidden="false" customHeight="false" outlineLevel="0" collapsed="false">
      <c r="A149" s="46" t="s">
        <v>2998</v>
      </c>
      <c r="B149" s="46"/>
      <c r="C149" s="46"/>
      <c r="D149" s="46"/>
      <c r="E149" s="46"/>
      <c r="F149" s="46"/>
      <c r="G149" s="46"/>
      <c r="H149" s="46" t="str">
        <f aca="false">IF(C149="","",IF(COUNTIFS(Drafts!$A$2:$A$251,C149,Drafts!$E$2:$E$251,"&lt;&gt;Adopted",Drafts!$E$2:$E$251,"&lt;&gt;Withdrawn")&gt;0,"Yes","No"))</f>
        <v/>
      </c>
      <c r="I149" s="46" t="str">
        <f aca="false">IF(C149="","",IF(G149&lt;&gt;"Waiting",G149,IF(H149="Yes","● Ready to pick up","Waiting")))</f>
        <v/>
      </c>
      <c r="J149" s="46"/>
      <c r="K149" s="46"/>
    </row>
    <row r="150" customFormat="false" ht="15" hidden="false" customHeight="false" outlineLevel="0" collapsed="false">
      <c r="A150" s="46" t="s">
        <v>2999</v>
      </c>
      <c r="B150" s="46"/>
      <c r="C150" s="46"/>
      <c r="D150" s="46"/>
      <c r="E150" s="46"/>
      <c r="F150" s="46"/>
      <c r="G150" s="46"/>
      <c r="H150" s="46" t="str">
        <f aca="false">IF(C150="","",IF(COUNTIFS(Drafts!$A$2:$A$251,C150,Drafts!$E$2:$E$251,"&lt;&gt;Adopted",Drafts!$E$2:$E$251,"&lt;&gt;Withdrawn")&gt;0,"Yes","No"))</f>
        <v/>
      </c>
      <c r="I150" s="46" t="str">
        <f aca="false">IF(C150="","",IF(G150&lt;&gt;"Waiting",G150,IF(H150="Yes","● Ready to pick up","Waiting")))</f>
        <v/>
      </c>
      <c r="J150" s="46"/>
      <c r="K150" s="46"/>
    </row>
    <row r="151" customFormat="false" ht="15" hidden="false" customHeight="false" outlineLevel="0" collapsed="false">
      <c r="A151" s="46" t="s">
        <v>3000</v>
      </c>
      <c r="B151" s="46"/>
      <c r="C151" s="46"/>
      <c r="D151" s="46"/>
      <c r="E151" s="46"/>
      <c r="F151" s="46"/>
      <c r="G151" s="46"/>
      <c r="H151" s="46" t="str">
        <f aca="false">IF(C151="","",IF(COUNTIFS(Drafts!$A$2:$A$251,C151,Drafts!$E$2:$E$251,"&lt;&gt;Adopted",Drafts!$E$2:$E$251,"&lt;&gt;Withdrawn")&gt;0,"Yes","No"))</f>
        <v/>
      </c>
      <c r="I151" s="46" t="str">
        <f aca="false">IF(C151="","",IF(G151&lt;&gt;"Waiting",G151,IF(H151="Yes","● Ready to pick up","Waiting")))</f>
        <v/>
      </c>
      <c r="J151" s="46"/>
      <c r="K151" s="46"/>
    </row>
    <row r="152" customFormat="false" ht="15" hidden="false" customHeight="false" outlineLevel="0" collapsed="false">
      <c r="A152" s="46" t="s">
        <v>3001</v>
      </c>
      <c r="B152" s="46"/>
      <c r="C152" s="46"/>
      <c r="D152" s="46"/>
      <c r="E152" s="46"/>
      <c r="F152" s="46"/>
      <c r="G152" s="46"/>
      <c r="H152" s="46" t="str">
        <f aca="false">IF(C152="","",IF(COUNTIFS(Drafts!$A$2:$A$251,C152,Drafts!$E$2:$E$251,"&lt;&gt;Adopted",Drafts!$E$2:$E$251,"&lt;&gt;Withdrawn")&gt;0,"Yes","No"))</f>
        <v/>
      </c>
      <c r="I152" s="46" t="str">
        <f aca="false">IF(C152="","",IF(G152&lt;&gt;"Waiting",G152,IF(H152="Yes","● Ready to pick up","Waiting")))</f>
        <v/>
      </c>
      <c r="J152" s="46"/>
      <c r="K152" s="46"/>
    </row>
    <row r="153" customFormat="false" ht="15" hidden="false" customHeight="false" outlineLevel="0" collapsed="false">
      <c r="A153" s="46" t="s">
        <v>3002</v>
      </c>
      <c r="B153" s="46"/>
      <c r="C153" s="46"/>
      <c r="D153" s="46"/>
      <c r="E153" s="46"/>
      <c r="F153" s="46"/>
      <c r="G153" s="46"/>
      <c r="H153" s="46" t="str">
        <f aca="false">IF(C153="","",IF(COUNTIFS(Drafts!$A$2:$A$251,C153,Drafts!$E$2:$E$251,"&lt;&gt;Adopted",Drafts!$E$2:$E$251,"&lt;&gt;Withdrawn")&gt;0,"Yes","No"))</f>
        <v/>
      </c>
      <c r="I153" s="46" t="str">
        <f aca="false">IF(C153="","",IF(G153&lt;&gt;"Waiting",G153,IF(H153="Yes","● Ready to pick up","Waiting")))</f>
        <v/>
      </c>
      <c r="J153" s="46"/>
      <c r="K153" s="46"/>
    </row>
    <row r="154" customFormat="false" ht="15" hidden="false" customHeight="false" outlineLevel="0" collapsed="false">
      <c r="A154" s="46" t="s">
        <v>3003</v>
      </c>
      <c r="B154" s="46"/>
      <c r="C154" s="46"/>
      <c r="D154" s="46"/>
      <c r="E154" s="46"/>
      <c r="F154" s="46"/>
      <c r="G154" s="46"/>
      <c r="H154" s="46" t="str">
        <f aca="false">IF(C154="","",IF(COUNTIFS(Drafts!$A$2:$A$251,C154,Drafts!$E$2:$E$251,"&lt;&gt;Adopted",Drafts!$E$2:$E$251,"&lt;&gt;Withdrawn")&gt;0,"Yes","No"))</f>
        <v/>
      </c>
      <c r="I154" s="46" t="str">
        <f aca="false">IF(C154="","",IF(G154&lt;&gt;"Waiting",G154,IF(H154="Yes","● Ready to pick up","Waiting")))</f>
        <v/>
      </c>
      <c r="J154" s="46"/>
      <c r="K154" s="46"/>
    </row>
    <row r="155" customFormat="false" ht="15" hidden="false" customHeight="false" outlineLevel="0" collapsed="false">
      <c r="A155" s="46" t="s">
        <v>3004</v>
      </c>
      <c r="B155" s="46"/>
      <c r="C155" s="46"/>
      <c r="D155" s="46"/>
      <c r="E155" s="46"/>
      <c r="F155" s="46"/>
      <c r="G155" s="46"/>
      <c r="H155" s="46" t="str">
        <f aca="false">IF(C155="","",IF(COUNTIFS(Drafts!$A$2:$A$251,C155,Drafts!$E$2:$E$251,"&lt;&gt;Adopted",Drafts!$E$2:$E$251,"&lt;&gt;Withdrawn")&gt;0,"Yes","No"))</f>
        <v/>
      </c>
      <c r="I155" s="46" t="str">
        <f aca="false">IF(C155="","",IF(G155&lt;&gt;"Waiting",G155,IF(H155="Yes","● Ready to pick up","Waiting")))</f>
        <v/>
      </c>
      <c r="J155" s="46"/>
      <c r="K155" s="46"/>
    </row>
    <row r="156" customFormat="false" ht="15" hidden="false" customHeight="false" outlineLevel="0" collapsed="false">
      <c r="A156" s="46" t="s">
        <v>3005</v>
      </c>
      <c r="B156" s="46"/>
      <c r="C156" s="46"/>
      <c r="D156" s="46"/>
      <c r="E156" s="46"/>
      <c r="F156" s="46"/>
      <c r="G156" s="46"/>
      <c r="H156" s="46" t="str">
        <f aca="false">IF(C156="","",IF(COUNTIFS(Drafts!$A$2:$A$251,C156,Drafts!$E$2:$E$251,"&lt;&gt;Adopted",Drafts!$E$2:$E$251,"&lt;&gt;Withdrawn")&gt;0,"Yes","No"))</f>
        <v/>
      </c>
      <c r="I156" s="46" t="str">
        <f aca="false">IF(C156="","",IF(G156&lt;&gt;"Waiting",G156,IF(H156="Yes","● Ready to pick up","Waiting")))</f>
        <v/>
      </c>
      <c r="J156" s="46"/>
      <c r="K156" s="46"/>
    </row>
    <row r="157" customFormat="false" ht="15" hidden="false" customHeight="false" outlineLevel="0" collapsed="false">
      <c r="A157" s="46" t="s">
        <v>3006</v>
      </c>
      <c r="B157" s="46"/>
      <c r="C157" s="46"/>
      <c r="D157" s="46"/>
      <c r="E157" s="46"/>
      <c r="F157" s="46"/>
      <c r="G157" s="46"/>
      <c r="H157" s="46" t="str">
        <f aca="false">IF(C157="","",IF(COUNTIFS(Drafts!$A$2:$A$251,C157,Drafts!$E$2:$E$251,"&lt;&gt;Adopted",Drafts!$E$2:$E$251,"&lt;&gt;Withdrawn")&gt;0,"Yes","No"))</f>
        <v/>
      </c>
      <c r="I157" s="46" t="str">
        <f aca="false">IF(C157="","",IF(G157&lt;&gt;"Waiting",G157,IF(H157="Yes","● Ready to pick up","Waiting")))</f>
        <v/>
      </c>
      <c r="J157" s="46"/>
      <c r="K157" s="46"/>
    </row>
    <row r="158" customFormat="false" ht="15" hidden="false" customHeight="false" outlineLevel="0" collapsed="false">
      <c r="A158" s="46" t="s">
        <v>3007</v>
      </c>
      <c r="B158" s="46"/>
      <c r="C158" s="46"/>
      <c r="D158" s="46"/>
      <c r="E158" s="46"/>
      <c r="F158" s="46"/>
      <c r="G158" s="46"/>
      <c r="H158" s="46" t="str">
        <f aca="false">IF(C158="","",IF(COUNTIFS(Drafts!$A$2:$A$251,C158,Drafts!$E$2:$E$251,"&lt;&gt;Adopted",Drafts!$E$2:$E$251,"&lt;&gt;Withdrawn")&gt;0,"Yes","No"))</f>
        <v/>
      </c>
      <c r="I158" s="46" t="str">
        <f aca="false">IF(C158="","",IF(G158&lt;&gt;"Waiting",G158,IF(H158="Yes","● Ready to pick up","Waiting")))</f>
        <v/>
      </c>
      <c r="J158" s="46"/>
      <c r="K158" s="46"/>
    </row>
    <row r="159" customFormat="false" ht="15" hidden="false" customHeight="false" outlineLevel="0" collapsed="false">
      <c r="A159" s="46" t="s">
        <v>3008</v>
      </c>
      <c r="B159" s="46"/>
      <c r="C159" s="46"/>
      <c r="D159" s="46"/>
      <c r="E159" s="46"/>
      <c r="F159" s="46"/>
      <c r="G159" s="46"/>
      <c r="H159" s="46" t="str">
        <f aca="false">IF(C159="","",IF(COUNTIFS(Drafts!$A$2:$A$251,C159,Drafts!$E$2:$E$251,"&lt;&gt;Adopted",Drafts!$E$2:$E$251,"&lt;&gt;Withdrawn")&gt;0,"Yes","No"))</f>
        <v/>
      </c>
      <c r="I159" s="46" t="str">
        <f aca="false">IF(C159="","",IF(G159&lt;&gt;"Waiting",G159,IF(H159="Yes","● Ready to pick up","Waiting")))</f>
        <v/>
      </c>
      <c r="J159" s="46"/>
      <c r="K159" s="46"/>
    </row>
    <row r="160" customFormat="false" ht="15" hidden="false" customHeight="false" outlineLevel="0" collapsed="false">
      <c r="A160" s="46" t="s">
        <v>3009</v>
      </c>
      <c r="B160" s="46"/>
      <c r="C160" s="46"/>
      <c r="D160" s="46"/>
      <c r="E160" s="46"/>
      <c r="F160" s="46"/>
      <c r="G160" s="46"/>
      <c r="H160" s="46" t="str">
        <f aca="false">IF(C160="","",IF(COUNTIFS(Drafts!$A$2:$A$251,C160,Drafts!$E$2:$E$251,"&lt;&gt;Adopted",Drafts!$E$2:$E$251,"&lt;&gt;Withdrawn")&gt;0,"Yes","No"))</f>
        <v/>
      </c>
      <c r="I160" s="46" t="str">
        <f aca="false">IF(C160="","",IF(G160&lt;&gt;"Waiting",G160,IF(H160="Yes","● Ready to pick up","Waiting")))</f>
        <v/>
      </c>
      <c r="J160" s="46"/>
      <c r="K160" s="46"/>
    </row>
    <row r="161" customFormat="false" ht="15" hidden="false" customHeight="false" outlineLevel="0" collapsed="false">
      <c r="A161" s="46" t="s">
        <v>3010</v>
      </c>
      <c r="B161" s="46"/>
      <c r="C161" s="46"/>
      <c r="D161" s="46"/>
      <c r="E161" s="46"/>
      <c r="F161" s="46"/>
      <c r="G161" s="46"/>
      <c r="H161" s="46" t="str">
        <f aca="false">IF(C161="","",IF(COUNTIFS(Drafts!$A$2:$A$251,C161,Drafts!$E$2:$E$251,"&lt;&gt;Adopted",Drafts!$E$2:$E$251,"&lt;&gt;Withdrawn")&gt;0,"Yes","No"))</f>
        <v/>
      </c>
      <c r="I161" s="46" t="str">
        <f aca="false">IF(C161="","",IF(G161&lt;&gt;"Waiting",G161,IF(H161="Yes","● Ready to pick up","Waiting")))</f>
        <v/>
      </c>
      <c r="J161" s="46"/>
      <c r="K161" s="46"/>
    </row>
    <row r="162" customFormat="false" ht="15" hidden="false" customHeight="false" outlineLevel="0" collapsed="false">
      <c r="A162" s="46" t="s">
        <v>3011</v>
      </c>
      <c r="B162" s="46"/>
      <c r="C162" s="46"/>
      <c r="D162" s="46"/>
      <c r="E162" s="46"/>
      <c r="F162" s="46"/>
      <c r="G162" s="46"/>
      <c r="H162" s="46" t="str">
        <f aca="false">IF(C162="","",IF(COUNTIFS(Drafts!$A$2:$A$251,C162,Drafts!$E$2:$E$251,"&lt;&gt;Adopted",Drafts!$E$2:$E$251,"&lt;&gt;Withdrawn")&gt;0,"Yes","No"))</f>
        <v/>
      </c>
      <c r="I162" s="46" t="str">
        <f aca="false">IF(C162="","",IF(G162&lt;&gt;"Waiting",G162,IF(H162="Yes","● Ready to pick up","Waiting")))</f>
        <v/>
      </c>
      <c r="J162" s="46"/>
      <c r="K162" s="46"/>
    </row>
    <row r="163" customFormat="false" ht="15" hidden="false" customHeight="false" outlineLevel="0" collapsed="false">
      <c r="A163" s="46" t="s">
        <v>3012</v>
      </c>
      <c r="B163" s="46"/>
      <c r="C163" s="46"/>
      <c r="D163" s="46"/>
      <c r="E163" s="46"/>
      <c r="F163" s="46"/>
      <c r="G163" s="46"/>
      <c r="H163" s="46" t="str">
        <f aca="false">IF(C163="","",IF(COUNTIFS(Drafts!$A$2:$A$251,C163,Drafts!$E$2:$E$251,"&lt;&gt;Adopted",Drafts!$E$2:$E$251,"&lt;&gt;Withdrawn")&gt;0,"Yes","No"))</f>
        <v/>
      </c>
      <c r="I163" s="46" t="str">
        <f aca="false">IF(C163="","",IF(G163&lt;&gt;"Waiting",G163,IF(H163="Yes","● Ready to pick up","Waiting")))</f>
        <v/>
      </c>
      <c r="J163" s="46"/>
      <c r="K163" s="46"/>
    </row>
    <row r="164" customFormat="false" ht="15" hidden="false" customHeight="false" outlineLevel="0" collapsed="false">
      <c r="A164" s="46" t="s">
        <v>3013</v>
      </c>
      <c r="B164" s="46"/>
      <c r="C164" s="46"/>
      <c r="D164" s="46"/>
      <c r="E164" s="46"/>
      <c r="F164" s="46"/>
      <c r="G164" s="46"/>
      <c r="H164" s="46" t="str">
        <f aca="false">IF(C164="","",IF(COUNTIFS(Drafts!$A$2:$A$251,C164,Drafts!$E$2:$E$251,"&lt;&gt;Adopted",Drafts!$E$2:$E$251,"&lt;&gt;Withdrawn")&gt;0,"Yes","No"))</f>
        <v/>
      </c>
      <c r="I164" s="46" t="str">
        <f aca="false">IF(C164="","",IF(G164&lt;&gt;"Waiting",G164,IF(H164="Yes","● Ready to pick up","Waiting")))</f>
        <v/>
      </c>
      <c r="J164" s="46"/>
      <c r="K164" s="46"/>
    </row>
    <row r="165" customFormat="false" ht="15" hidden="false" customHeight="false" outlineLevel="0" collapsed="false">
      <c r="A165" s="46" t="s">
        <v>3014</v>
      </c>
      <c r="B165" s="46"/>
      <c r="C165" s="46"/>
      <c r="D165" s="46"/>
      <c r="E165" s="46"/>
      <c r="F165" s="46"/>
      <c r="G165" s="46"/>
      <c r="H165" s="46" t="str">
        <f aca="false">IF(C165="","",IF(COUNTIFS(Drafts!$A$2:$A$251,C165,Drafts!$E$2:$E$251,"&lt;&gt;Adopted",Drafts!$E$2:$E$251,"&lt;&gt;Withdrawn")&gt;0,"Yes","No"))</f>
        <v/>
      </c>
      <c r="I165" s="46" t="str">
        <f aca="false">IF(C165="","",IF(G165&lt;&gt;"Waiting",G165,IF(H165="Yes","● Ready to pick up","Waiting")))</f>
        <v/>
      </c>
      <c r="J165" s="46"/>
      <c r="K165" s="46"/>
    </row>
    <row r="166" customFormat="false" ht="15" hidden="false" customHeight="false" outlineLevel="0" collapsed="false">
      <c r="A166" s="46" t="s">
        <v>3015</v>
      </c>
      <c r="B166" s="46"/>
      <c r="C166" s="46"/>
      <c r="D166" s="46"/>
      <c r="E166" s="46"/>
      <c r="F166" s="46"/>
      <c r="G166" s="46"/>
      <c r="H166" s="46" t="str">
        <f aca="false">IF(C166="","",IF(COUNTIFS(Drafts!$A$2:$A$251,C166,Drafts!$E$2:$E$251,"&lt;&gt;Adopted",Drafts!$E$2:$E$251,"&lt;&gt;Withdrawn")&gt;0,"Yes","No"))</f>
        <v/>
      </c>
      <c r="I166" s="46" t="str">
        <f aca="false">IF(C166="","",IF(G166&lt;&gt;"Waiting",G166,IF(H166="Yes","● Ready to pick up","Waiting")))</f>
        <v/>
      </c>
      <c r="J166" s="46"/>
      <c r="K166" s="46"/>
    </row>
    <row r="167" customFormat="false" ht="15" hidden="false" customHeight="false" outlineLevel="0" collapsed="false">
      <c r="A167" s="46" t="s">
        <v>3016</v>
      </c>
      <c r="B167" s="46"/>
      <c r="C167" s="46"/>
      <c r="D167" s="46"/>
      <c r="E167" s="46"/>
      <c r="F167" s="46"/>
      <c r="G167" s="46"/>
      <c r="H167" s="46" t="str">
        <f aca="false">IF(C167="","",IF(COUNTIFS(Drafts!$A$2:$A$251,C167,Drafts!$E$2:$E$251,"&lt;&gt;Adopted",Drafts!$E$2:$E$251,"&lt;&gt;Withdrawn")&gt;0,"Yes","No"))</f>
        <v/>
      </c>
      <c r="I167" s="46" t="str">
        <f aca="false">IF(C167="","",IF(G167&lt;&gt;"Waiting",G167,IF(H167="Yes","● Ready to pick up","Waiting")))</f>
        <v/>
      </c>
      <c r="J167" s="46"/>
      <c r="K167" s="46"/>
    </row>
    <row r="168" customFormat="false" ht="15" hidden="false" customHeight="false" outlineLevel="0" collapsed="false">
      <c r="A168" s="46" t="s">
        <v>3017</v>
      </c>
      <c r="B168" s="46"/>
      <c r="C168" s="46"/>
      <c r="D168" s="46"/>
      <c r="E168" s="46"/>
      <c r="F168" s="46"/>
      <c r="G168" s="46"/>
      <c r="H168" s="46" t="str">
        <f aca="false">IF(C168="","",IF(COUNTIFS(Drafts!$A$2:$A$251,C168,Drafts!$E$2:$E$251,"&lt;&gt;Adopted",Drafts!$E$2:$E$251,"&lt;&gt;Withdrawn")&gt;0,"Yes","No"))</f>
        <v/>
      </c>
      <c r="I168" s="46" t="str">
        <f aca="false">IF(C168="","",IF(G168&lt;&gt;"Waiting",G168,IF(H168="Yes","● Ready to pick up","Waiting")))</f>
        <v/>
      </c>
      <c r="J168" s="46"/>
      <c r="K168" s="46"/>
    </row>
    <row r="169" customFormat="false" ht="15" hidden="false" customHeight="false" outlineLevel="0" collapsed="false">
      <c r="A169" s="46" t="s">
        <v>3018</v>
      </c>
      <c r="B169" s="46"/>
      <c r="C169" s="46"/>
      <c r="D169" s="46"/>
      <c r="E169" s="46"/>
      <c r="F169" s="46"/>
      <c r="G169" s="46"/>
      <c r="H169" s="46" t="str">
        <f aca="false">IF(C169="","",IF(COUNTIFS(Drafts!$A$2:$A$251,C169,Drafts!$E$2:$E$251,"&lt;&gt;Adopted",Drafts!$E$2:$E$251,"&lt;&gt;Withdrawn")&gt;0,"Yes","No"))</f>
        <v/>
      </c>
      <c r="I169" s="46" t="str">
        <f aca="false">IF(C169="","",IF(G169&lt;&gt;"Waiting",G169,IF(H169="Yes","● Ready to pick up","Waiting")))</f>
        <v/>
      </c>
      <c r="J169" s="46"/>
      <c r="K169" s="46"/>
    </row>
    <row r="170" customFormat="false" ht="15" hidden="false" customHeight="false" outlineLevel="0" collapsed="false">
      <c r="A170" s="46" t="s">
        <v>3019</v>
      </c>
      <c r="B170" s="46"/>
      <c r="C170" s="46"/>
      <c r="D170" s="46"/>
      <c r="E170" s="46"/>
      <c r="F170" s="46"/>
      <c r="G170" s="46"/>
      <c r="H170" s="46" t="str">
        <f aca="false">IF(C170="","",IF(COUNTIFS(Drafts!$A$2:$A$251,C170,Drafts!$E$2:$E$251,"&lt;&gt;Adopted",Drafts!$E$2:$E$251,"&lt;&gt;Withdrawn")&gt;0,"Yes","No"))</f>
        <v/>
      </c>
      <c r="I170" s="46" t="str">
        <f aca="false">IF(C170="","",IF(G170&lt;&gt;"Waiting",G170,IF(H170="Yes","● Ready to pick up","Waiting")))</f>
        <v/>
      </c>
      <c r="J170" s="46"/>
      <c r="K170" s="46"/>
    </row>
    <row r="171" customFormat="false" ht="15" hidden="false" customHeight="false" outlineLevel="0" collapsed="false">
      <c r="A171" s="46" t="s">
        <v>3020</v>
      </c>
      <c r="B171" s="46"/>
      <c r="C171" s="46"/>
      <c r="D171" s="46"/>
      <c r="E171" s="46"/>
      <c r="F171" s="46"/>
      <c r="G171" s="46"/>
      <c r="H171" s="46" t="str">
        <f aca="false">IF(C171="","",IF(COUNTIFS(Drafts!$A$2:$A$251,C171,Drafts!$E$2:$E$251,"&lt;&gt;Adopted",Drafts!$E$2:$E$251,"&lt;&gt;Withdrawn")&gt;0,"Yes","No"))</f>
        <v/>
      </c>
      <c r="I171" s="46" t="str">
        <f aca="false">IF(C171="","",IF(G171&lt;&gt;"Waiting",G171,IF(H171="Yes","● Ready to pick up","Waiting")))</f>
        <v/>
      </c>
      <c r="J171" s="46"/>
      <c r="K171" s="46"/>
    </row>
    <row r="172" customFormat="false" ht="15" hidden="false" customHeight="false" outlineLevel="0" collapsed="false">
      <c r="A172" s="46" t="s">
        <v>3021</v>
      </c>
      <c r="B172" s="46"/>
      <c r="C172" s="46"/>
      <c r="D172" s="46"/>
      <c r="E172" s="46"/>
      <c r="F172" s="46"/>
      <c r="G172" s="46"/>
      <c r="H172" s="46" t="str">
        <f aca="false">IF(C172="","",IF(COUNTIFS(Drafts!$A$2:$A$251,C172,Drafts!$E$2:$E$251,"&lt;&gt;Adopted",Drafts!$E$2:$E$251,"&lt;&gt;Withdrawn")&gt;0,"Yes","No"))</f>
        <v/>
      </c>
      <c r="I172" s="46" t="str">
        <f aca="false">IF(C172="","",IF(G172&lt;&gt;"Waiting",G172,IF(H172="Yes","● Ready to pick up","Waiting")))</f>
        <v/>
      </c>
      <c r="J172" s="46"/>
      <c r="K172" s="46"/>
    </row>
    <row r="173" customFormat="false" ht="15" hidden="false" customHeight="false" outlineLevel="0" collapsed="false">
      <c r="A173" s="46" t="s">
        <v>3022</v>
      </c>
      <c r="B173" s="46"/>
      <c r="C173" s="46"/>
      <c r="D173" s="46"/>
      <c r="E173" s="46"/>
      <c r="F173" s="46"/>
      <c r="G173" s="46"/>
      <c r="H173" s="46" t="str">
        <f aca="false">IF(C173="","",IF(COUNTIFS(Drafts!$A$2:$A$251,C173,Drafts!$E$2:$E$251,"&lt;&gt;Adopted",Drafts!$E$2:$E$251,"&lt;&gt;Withdrawn")&gt;0,"Yes","No"))</f>
        <v/>
      </c>
      <c r="I173" s="46" t="str">
        <f aca="false">IF(C173="","",IF(G173&lt;&gt;"Waiting",G173,IF(H173="Yes","● Ready to pick up","Waiting")))</f>
        <v/>
      </c>
      <c r="J173" s="46"/>
      <c r="K173" s="46"/>
    </row>
    <row r="174" customFormat="false" ht="15" hidden="false" customHeight="false" outlineLevel="0" collapsed="false">
      <c r="A174" s="46" t="s">
        <v>3023</v>
      </c>
      <c r="B174" s="46"/>
      <c r="C174" s="46"/>
      <c r="D174" s="46"/>
      <c r="E174" s="46"/>
      <c r="F174" s="46"/>
      <c r="G174" s="46"/>
      <c r="H174" s="46" t="str">
        <f aca="false">IF(C174="","",IF(COUNTIFS(Drafts!$A$2:$A$251,C174,Drafts!$E$2:$E$251,"&lt;&gt;Adopted",Drafts!$E$2:$E$251,"&lt;&gt;Withdrawn")&gt;0,"Yes","No"))</f>
        <v/>
      </c>
      <c r="I174" s="46" t="str">
        <f aca="false">IF(C174="","",IF(G174&lt;&gt;"Waiting",G174,IF(H174="Yes","● Ready to pick up","Waiting")))</f>
        <v/>
      </c>
      <c r="J174" s="46"/>
      <c r="K174" s="46"/>
    </row>
    <row r="175" customFormat="false" ht="15" hidden="false" customHeight="false" outlineLevel="0" collapsed="false">
      <c r="A175" s="46" t="s">
        <v>3024</v>
      </c>
      <c r="B175" s="46"/>
      <c r="C175" s="46"/>
      <c r="D175" s="46"/>
      <c r="E175" s="46"/>
      <c r="F175" s="46"/>
      <c r="G175" s="46"/>
      <c r="H175" s="46" t="str">
        <f aca="false">IF(C175="","",IF(COUNTIFS(Drafts!$A$2:$A$251,C175,Drafts!$E$2:$E$251,"&lt;&gt;Adopted",Drafts!$E$2:$E$251,"&lt;&gt;Withdrawn")&gt;0,"Yes","No"))</f>
        <v/>
      </c>
      <c r="I175" s="46" t="str">
        <f aca="false">IF(C175="","",IF(G175&lt;&gt;"Waiting",G175,IF(H175="Yes","● Ready to pick up","Waiting")))</f>
        <v/>
      </c>
      <c r="J175" s="46"/>
      <c r="K175" s="46"/>
    </row>
    <row r="176" customFormat="false" ht="15" hidden="false" customHeight="false" outlineLevel="0" collapsed="false">
      <c r="A176" s="46" t="s">
        <v>3025</v>
      </c>
      <c r="B176" s="46"/>
      <c r="C176" s="46"/>
      <c r="D176" s="46"/>
      <c r="E176" s="46"/>
      <c r="F176" s="46"/>
      <c r="G176" s="46"/>
      <c r="H176" s="46" t="str">
        <f aca="false">IF(C176="","",IF(COUNTIFS(Drafts!$A$2:$A$251,C176,Drafts!$E$2:$E$251,"&lt;&gt;Adopted",Drafts!$E$2:$E$251,"&lt;&gt;Withdrawn")&gt;0,"Yes","No"))</f>
        <v/>
      </c>
      <c r="I176" s="46" t="str">
        <f aca="false">IF(C176="","",IF(G176&lt;&gt;"Waiting",G176,IF(H176="Yes","● Ready to pick up","Waiting")))</f>
        <v/>
      </c>
      <c r="J176" s="46"/>
      <c r="K176" s="46"/>
    </row>
    <row r="177" customFormat="false" ht="15" hidden="false" customHeight="false" outlineLevel="0" collapsed="false">
      <c r="A177" s="46" t="s">
        <v>3026</v>
      </c>
      <c r="B177" s="46"/>
      <c r="C177" s="46"/>
      <c r="D177" s="46"/>
      <c r="E177" s="46"/>
      <c r="F177" s="46"/>
      <c r="G177" s="46"/>
      <c r="H177" s="46" t="str">
        <f aca="false">IF(C177="","",IF(COUNTIFS(Drafts!$A$2:$A$251,C177,Drafts!$E$2:$E$251,"&lt;&gt;Adopted",Drafts!$E$2:$E$251,"&lt;&gt;Withdrawn")&gt;0,"Yes","No"))</f>
        <v/>
      </c>
      <c r="I177" s="46" t="str">
        <f aca="false">IF(C177="","",IF(G177&lt;&gt;"Waiting",G177,IF(H177="Yes","● Ready to pick up","Waiting")))</f>
        <v/>
      </c>
      <c r="J177" s="46"/>
      <c r="K177" s="46"/>
    </row>
    <row r="178" customFormat="false" ht="15" hidden="false" customHeight="false" outlineLevel="0" collapsed="false">
      <c r="A178" s="46" t="s">
        <v>3027</v>
      </c>
      <c r="B178" s="46"/>
      <c r="C178" s="46"/>
      <c r="D178" s="46"/>
      <c r="E178" s="46"/>
      <c r="F178" s="46"/>
      <c r="G178" s="46"/>
      <c r="H178" s="46" t="str">
        <f aca="false">IF(C178="","",IF(COUNTIFS(Drafts!$A$2:$A$251,C178,Drafts!$E$2:$E$251,"&lt;&gt;Adopted",Drafts!$E$2:$E$251,"&lt;&gt;Withdrawn")&gt;0,"Yes","No"))</f>
        <v/>
      </c>
      <c r="I178" s="46" t="str">
        <f aca="false">IF(C178="","",IF(G178&lt;&gt;"Waiting",G178,IF(H178="Yes","● Ready to pick up","Waiting")))</f>
        <v/>
      </c>
      <c r="J178" s="46"/>
      <c r="K178" s="46"/>
    </row>
    <row r="179" customFormat="false" ht="15" hidden="false" customHeight="false" outlineLevel="0" collapsed="false">
      <c r="A179" s="46" t="s">
        <v>3028</v>
      </c>
      <c r="B179" s="46"/>
      <c r="C179" s="46"/>
      <c r="D179" s="46"/>
      <c r="E179" s="46"/>
      <c r="F179" s="46"/>
      <c r="G179" s="46"/>
      <c r="H179" s="46" t="str">
        <f aca="false">IF(C179="","",IF(COUNTIFS(Drafts!$A$2:$A$251,C179,Drafts!$E$2:$E$251,"&lt;&gt;Adopted",Drafts!$E$2:$E$251,"&lt;&gt;Withdrawn")&gt;0,"Yes","No"))</f>
        <v/>
      </c>
      <c r="I179" s="46" t="str">
        <f aca="false">IF(C179="","",IF(G179&lt;&gt;"Waiting",G179,IF(H179="Yes","● Ready to pick up","Waiting")))</f>
        <v/>
      </c>
      <c r="J179" s="46"/>
      <c r="K179" s="46"/>
    </row>
    <row r="180" customFormat="false" ht="15" hidden="false" customHeight="false" outlineLevel="0" collapsed="false">
      <c r="A180" s="46" t="s">
        <v>3029</v>
      </c>
      <c r="B180" s="46"/>
      <c r="C180" s="46"/>
      <c r="D180" s="46"/>
      <c r="E180" s="46"/>
      <c r="F180" s="46"/>
      <c r="G180" s="46"/>
      <c r="H180" s="46" t="str">
        <f aca="false">IF(C180="","",IF(COUNTIFS(Drafts!$A$2:$A$251,C180,Drafts!$E$2:$E$251,"&lt;&gt;Adopted",Drafts!$E$2:$E$251,"&lt;&gt;Withdrawn")&gt;0,"Yes","No"))</f>
        <v/>
      </c>
      <c r="I180" s="46" t="str">
        <f aca="false">IF(C180="","",IF(G180&lt;&gt;"Waiting",G180,IF(H180="Yes","● Ready to pick up","Waiting")))</f>
        <v/>
      </c>
      <c r="J180" s="46"/>
      <c r="K180" s="46"/>
    </row>
    <row r="181" customFormat="false" ht="15" hidden="false" customHeight="false" outlineLevel="0" collapsed="false">
      <c r="A181" s="46" t="s">
        <v>3030</v>
      </c>
      <c r="B181" s="46"/>
      <c r="C181" s="46"/>
      <c r="D181" s="46"/>
      <c r="E181" s="46"/>
      <c r="F181" s="46"/>
      <c r="G181" s="46"/>
      <c r="H181" s="46" t="str">
        <f aca="false">IF(C181="","",IF(COUNTIFS(Drafts!$A$2:$A$251,C181,Drafts!$E$2:$E$251,"&lt;&gt;Adopted",Drafts!$E$2:$E$251,"&lt;&gt;Withdrawn")&gt;0,"Yes","No"))</f>
        <v/>
      </c>
      <c r="I181" s="46" t="str">
        <f aca="false">IF(C181="","",IF(G181&lt;&gt;"Waiting",G181,IF(H181="Yes","● Ready to pick up","Waiting")))</f>
        <v/>
      </c>
      <c r="J181" s="46"/>
      <c r="K181" s="46"/>
    </row>
    <row r="182" customFormat="false" ht="15" hidden="false" customHeight="false" outlineLevel="0" collapsed="false">
      <c r="A182" s="46" t="s">
        <v>3031</v>
      </c>
      <c r="B182" s="46"/>
      <c r="C182" s="46"/>
      <c r="D182" s="46"/>
      <c r="E182" s="46"/>
      <c r="F182" s="46"/>
      <c r="G182" s="46"/>
      <c r="H182" s="46" t="str">
        <f aca="false">IF(C182="","",IF(COUNTIFS(Drafts!$A$2:$A$251,C182,Drafts!$E$2:$E$251,"&lt;&gt;Adopted",Drafts!$E$2:$E$251,"&lt;&gt;Withdrawn")&gt;0,"Yes","No"))</f>
        <v/>
      </c>
      <c r="I182" s="46" t="str">
        <f aca="false">IF(C182="","",IF(G182&lt;&gt;"Waiting",G182,IF(H182="Yes","● Ready to pick up","Waiting")))</f>
        <v/>
      </c>
      <c r="J182" s="46"/>
      <c r="K182" s="46"/>
    </row>
    <row r="183" customFormat="false" ht="15" hidden="false" customHeight="false" outlineLevel="0" collapsed="false">
      <c r="A183" s="46" t="s">
        <v>3032</v>
      </c>
      <c r="B183" s="46"/>
      <c r="C183" s="46"/>
      <c r="D183" s="46"/>
      <c r="E183" s="46"/>
      <c r="F183" s="46"/>
      <c r="G183" s="46"/>
      <c r="H183" s="46" t="str">
        <f aca="false">IF(C183="","",IF(COUNTIFS(Drafts!$A$2:$A$251,C183,Drafts!$E$2:$E$251,"&lt;&gt;Adopted",Drafts!$E$2:$E$251,"&lt;&gt;Withdrawn")&gt;0,"Yes","No"))</f>
        <v/>
      </c>
      <c r="I183" s="46" t="str">
        <f aca="false">IF(C183="","",IF(G183&lt;&gt;"Waiting",G183,IF(H183="Yes","● Ready to pick up","Waiting")))</f>
        <v/>
      </c>
      <c r="J183" s="46"/>
      <c r="K183" s="46"/>
    </row>
    <row r="184" customFormat="false" ht="15" hidden="false" customHeight="false" outlineLevel="0" collapsed="false">
      <c r="A184" s="46" t="s">
        <v>3033</v>
      </c>
      <c r="B184" s="46"/>
      <c r="C184" s="46"/>
      <c r="D184" s="46"/>
      <c r="E184" s="46"/>
      <c r="F184" s="46"/>
      <c r="G184" s="46"/>
      <c r="H184" s="46" t="str">
        <f aca="false">IF(C184="","",IF(COUNTIFS(Drafts!$A$2:$A$251,C184,Drafts!$E$2:$E$251,"&lt;&gt;Adopted",Drafts!$E$2:$E$251,"&lt;&gt;Withdrawn")&gt;0,"Yes","No"))</f>
        <v/>
      </c>
      <c r="I184" s="46" t="str">
        <f aca="false">IF(C184="","",IF(G184&lt;&gt;"Waiting",G184,IF(H184="Yes","● Ready to pick up","Waiting")))</f>
        <v/>
      </c>
      <c r="J184" s="46"/>
      <c r="K184" s="46"/>
    </row>
    <row r="185" customFormat="false" ht="15" hidden="false" customHeight="false" outlineLevel="0" collapsed="false">
      <c r="A185" s="46" t="s">
        <v>3034</v>
      </c>
      <c r="B185" s="46"/>
      <c r="C185" s="46"/>
      <c r="D185" s="46"/>
      <c r="E185" s="46"/>
      <c r="F185" s="46"/>
      <c r="G185" s="46"/>
      <c r="H185" s="46" t="str">
        <f aca="false">IF(C185="","",IF(COUNTIFS(Drafts!$A$2:$A$251,C185,Drafts!$E$2:$E$251,"&lt;&gt;Adopted",Drafts!$E$2:$E$251,"&lt;&gt;Withdrawn")&gt;0,"Yes","No"))</f>
        <v/>
      </c>
      <c r="I185" s="46" t="str">
        <f aca="false">IF(C185="","",IF(G185&lt;&gt;"Waiting",G185,IF(H185="Yes","● Ready to pick up","Waiting")))</f>
        <v/>
      </c>
      <c r="J185" s="46"/>
      <c r="K185" s="46"/>
    </row>
    <row r="186" customFormat="false" ht="15" hidden="false" customHeight="false" outlineLevel="0" collapsed="false">
      <c r="A186" s="46" t="s">
        <v>3035</v>
      </c>
      <c r="B186" s="46"/>
      <c r="C186" s="46"/>
      <c r="D186" s="46"/>
      <c r="E186" s="46"/>
      <c r="F186" s="46"/>
      <c r="G186" s="46"/>
      <c r="H186" s="46" t="str">
        <f aca="false">IF(C186="","",IF(COUNTIFS(Drafts!$A$2:$A$251,C186,Drafts!$E$2:$E$251,"&lt;&gt;Adopted",Drafts!$E$2:$E$251,"&lt;&gt;Withdrawn")&gt;0,"Yes","No"))</f>
        <v/>
      </c>
      <c r="I186" s="46" t="str">
        <f aca="false">IF(C186="","",IF(G186&lt;&gt;"Waiting",G186,IF(H186="Yes","● Ready to pick up","Waiting")))</f>
        <v/>
      </c>
      <c r="J186" s="46"/>
      <c r="K186" s="46"/>
    </row>
    <row r="187" customFormat="false" ht="15" hidden="false" customHeight="false" outlineLevel="0" collapsed="false">
      <c r="A187" s="46" t="s">
        <v>3036</v>
      </c>
      <c r="B187" s="46"/>
      <c r="C187" s="46"/>
      <c r="D187" s="46"/>
      <c r="E187" s="46"/>
      <c r="F187" s="46"/>
      <c r="G187" s="46"/>
      <c r="H187" s="46" t="str">
        <f aca="false">IF(C187="","",IF(COUNTIFS(Drafts!$A$2:$A$251,C187,Drafts!$E$2:$E$251,"&lt;&gt;Adopted",Drafts!$E$2:$E$251,"&lt;&gt;Withdrawn")&gt;0,"Yes","No"))</f>
        <v/>
      </c>
      <c r="I187" s="46" t="str">
        <f aca="false">IF(C187="","",IF(G187&lt;&gt;"Waiting",G187,IF(H187="Yes","● Ready to pick up","Waiting")))</f>
        <v/>
      </c>
      <c r="J187" s="46"/>
      <c r="K187" s="46"/>
    </row>
    <row r="188" customFormat="false" ht="15" hidden="false" customHeight="false" outlineLevel="0" collapsed="false">
      <c r="A188" s="46" t="s">
        <v>3037</v>
      </c>
      <c r="B188" s="46"/>
      <c r="C188" s="46"/>
      <c r="D188" s="46"/>
      <c r="E188" s="46"/>
      <c r="F188" s="46"/>
      <c r="G188" s="46"/>
      <c r="H188" s="46" t="str">
        <f aca="false">IF(C188="","",IF(COUNTIFS(Drafts!$A$2:$A$251,C188,Drafts!$E$2:$E$251,"&lt;&gt;Adopted",Drafts!$E$2:$E$251,"&lt;&gt;Withdrawn")&gt;0,"Yes","No"))</f>
        <v/>
      </c>
      <c r="I188" s="46" t="str">
        <f aca="false">IF(C188="","",IF(G188&lt;&gt;"Waiting",G188,IF(H188="Yes","● Ready to pick up","Waiting")))</f>
        <v/>
      </c>
      <c r="J188" s="46"/>
      <c r="K188" s="46"/>
    </row>
    <row r="189" customFormat="false" ht="15" hidden="false" customHeight="false" outlineLevel="0" collapsed="false">
      <c r="A189" s="46" t="s">
        <v>3038</v>
      </c>
      <c r="B189" s="46"/>
      <c r="C189" s="46"/>
      <c r="D189" s="46"/>
      <c r="E189" s="46"/>
      <c r="F189" s="46"/>
      <c r="G189" s="46"/>
      <c r="H189" s="46" t="str">
        <f aca="false">IF(C189="","",IF(COUNTIFS(Drafts!$A$2:$A$251,C189,Drafts!$E$2:$E$251,"&lt;&gt;Adopted",Drafts!$E$2:$E$251,"&lt;&gt;Withdrawn")&gt;0,"Yes","No"))</f>
        <v/>
      </c>
      <c r="I189" s="46" t="str">
        <f aca="false">IF(C189="","",IF(G189&lt;&gt;"Waiting",G189,IF(H189="Yes","● Ready to pick up","Waiting")))</f>
        <v/>
      </c>
      <c r="J189" s="46"/>
      <c r="K189" s="46"/>
    </row>
    <row r="190" customFormat="false" ht="15" hidden="false" customHeight="false" outlineLevel="0" collapsed="false">
      <c r="A190" s="46" t="s">
        <v>3039</v>
      </c>
      <c r="B190" s="46"/>
      <c r="C190" s="46"/>
      <c r="D190" s="46"/>
      <c r="E190" s="46"/>
      <c r="F190" s="46"/>
      <c r="G190" s="46"/>
      <c r="H190" s="46" t="str">
        <f aca="false">IF(C190="","",IF(COUNTIFS(Drafts!$A$2:$A$251,C190,Drafts!$E$2:$E$251,"&lt;&gt;Adopted",Drafts!$E$2:$E$251,"&lt;&gt;Withdrawn")&gt;0,"Yes","No"))</f>
        <v/>
      </c>
      <c r="I190" s="46" t="str">
        <f aca="false">IF(C190="","",IF(G190&lt;&gt;"Waiting",G190,IF(H190="Yes","● Ready to pick up","Waiting")))</f>
        <v/>
      </c>
      <c r="J190" s="46"/>
      <c r="K190" s="46"/>
    </row>
    <row r="191" customFormat="false" ht="15" hidden="false" customHeight="false" outlineLevel="0" collapsed="false">
      <c r="A191" s="46" t="s">
        <v>3040</v>
      </c>
      <c r="B191" s="46"/>
      <c r="C191" s="46"/>
      <c r="D191" s="46"/>
      <c r="E191" s="46"/>
      <c r="F191" s="46"/>
      <c r="G191" s="46"/>
      <c r="H191" s="46" t="str">
        <f aca="false">IF(C191="","",IF(COUNTIFS(Drafts!$A$2:$A$251,C191,Drafts!$E$2:$E$251,"&lt;&gt;Adopted",Drafts!$E$2:$E$251,"&lt;&gt;Withdrawn")&gt;0,"Yes","No"))</f>
        <v/>
      </c>
      <c r="I191" s="46" t="str">
        <f aca="false">IF(C191="","",IF(G191&lt;&gt;"Waiting",G191,IF(H191="Yes","● Ready to pick up","Waiting")))</f>
        <v/>
      </c>
      <c r="J191" s="46"/>
      <c r="K191" s="46"/>
    </row>
    <row r="192" customFormat="false" ht="15" hidden="false" customHeight="false" outlineLevel="0" collapsed="false">
      <c r="A192" s="46" t="s">
        <v>3041</v>
      </c>
      <c r="B192" s="46"/>
      <c r="C192" s="46"/>
      <c r="D192" s="46"/>
      <c r="E192" s="46"/>
      <c r="F192" s="46"/>
      <c r="G192" s="46"/>
      <c r="H192" s="46" t="str">
        <f aca="false">IF(C192="","",IF(COUNTIFS(Drafts!$A$2:$A$251,C192,Drafts!$E$2:$E$251,"&lt;&gt;Adopted",Drafts!$E$2:$E$251,"&lt;&gt;Withdrawn")&gt;0,"Yes","No"))</f>
        <v/>
      </c>
      <c r="I192" s="46" t="str">
        <f aca="false">IF(C192="","",IF(G192&lt;&gt;"Waiting",G192,IF(H192="Yes","● Ready to pick up","Waiting")))</f>
        <v/>
      </c>
      <c r="J192" s="46"/>
      <c r="K192" s="46"/>
    </row>
    <row r="193" customFormat="false" ht="15" hidden="false" customHeight="false" outlineLevel="0" collapsed="false">
      <c r="A193" s="46" t="s">
        <v>3042</v>
      </c>
      <c r="B193" s="46"/>
      <c r="C193" s="46"/>
      <c r="D193" s="46"/>
      <c r="E193" s="46"/>
      <c r="F193" s="46"/>
      <c r="G193" s="46"/>
      <c r="H193" s="46" t="str">
        <f aca="false">IF(C193="","",IF(COUNTIFS(Drafts!$A$2:$A$251,C193,Drafts!$E$2:$E$251,"&lt;&gt;Adopted",Drafts!$E$2:$E$251,"&lt;&gt;Withdrawn")&gt;0,"Yes","No"))</f>
        <v/>
      </c>
      <c r="I193" s="46" t="str">
        <f aca="false">IF(C193="","",IF(G193&lt;&gt;"Waiting",G193,IF(H193="Yes","● Ready to pick up","Waiting")))</f>
        <v/>
      </c>
      <c r="J193" s="46"/>
      <c r="K193" s="46"/>
    </row>
    <row r="194" customFormat="false" ht="15" hidden="false" customHeight="false" outlineLevel="0" collapsed="false">
      <c r="A194" s="46" t="s">
        <v>3043</v>
      </c>
      <c r="B194" s="46"/>
      <c r="C194" s="46"/>
      <c r="D194" s="46"/>
      <c r="E194" s="46"/>
      <c r="F194" s="46"/>
      <c r="G194" s="46"/>
      <c r="H194" s="46" t="str">
        <f aca="false">IF(C194="","",IF(COUNTIFS(Drafts!$A$2:$A$251,C194,Drafts!$E$2:$E$251,"&lt;&gt;Adopted",Drafts!$E$2:$E$251,"&lt;&gt;Withdrawn")&gt;0,"Yes","No"))</f>
        <v/>
      </c>
      <c r="I194" s="46" t="str">
        <f aca="false">IF(C194="","",IF(G194&lt;&gt;"Waiting",G194,IF(H194="Yes","● Ready to pick up","Waiting")))</f>
        <v/>
      </c>
      <c r="J194" s="46"/>
      <c r="K194" s="46"/>
    </row>
    <row r="195" customFormat="false" ht="15" hidden="false" customHeight="false" outlineLevel="0" collapsed="false">
      <c r="A195" s="46" t="s">
        <v>3044</v>
      </c>
      <c r="B195" s="46"/>
      <c r="C195" s="46"/>
      <c r="D195" s="46"/>
      <c r="E195" s="46"/>
      <c r="F195" s="46"/>
      <c r="G195" s="46"/>
      <c r="H195" s="46" t="str">
        <f aca="false">IF(C195="","",IF(COUNTIFS(Drafts!$A$2:$A$251,C195,Drafts!$E$2:$E$251,"&lt;&gt;Adopted",Drafts!$E$2:$E$251,"&lt;&gt;Withdrawn")&gt;0,"Yes","No"))</f>
        <v/>
      </c>
      <c r="I195" s="46" t="str">
        <f aca="false">IF(C195="","",IF(G195&lt;&gt;"Waiting",G195,IF(H195="Yes","● Ready to pick up","Waiting")))</f>
        <v/>
      </c>
      <c r="J195" s="46"/>
      <c r="K195" s="46"/>
    </row>
    <row r="196" customFormat="false" ht="15" hidden="false" customHeight="false" outlineLevel="0" collapsed="false">
      <c r="A196" s="46" t="s">
        <v>3045</v>
      </c>
      <c r="B196" s="46"/>
      <c r="C196" s="46"/>
      <c r="D196" s="46"/>
      <c r="E196" s="46"/>
      <c r="F196" s="46"/>
      <c r="G196" s="46"/>
      <c r="H196" s="46" t="str">
        <f aca="false">IF(C196="","",IF(COUNTIFS(Drafts!$A$2:$A$251,C196,Drafts!$E$2:$E$251,"&lt;&gt;Adopted",Drafts!$E$2:$E$251,"&lt;&gt;Withdrawn")&gt;0,"Yes","No"))</f>
        <v/>
      </c>
      <c r="I196" s="46" t="str">
        <f aca="false">IF(C196="","",IF(G196&lt;&gt;"Waiting",G196,IF(H196="Yes","● Ready to pick up","Waiting")))</f>
        <v/>
      </c>
      <c r="J196" s="46"/>
      <c r="K196" s="46"/>
    </row>
    <row r="197" customFormat="false" ht="15" hidden="false" customHeight="false" outlineLevel="0" collapsed="false">
      <c r="A197" s="46" t="s">
        <v>3046</v>
      </c>
      <c r="B197" s="46"/>
      <c r="C197" s="46"/>
      <c r="D197" s="46"/>
      <c r="E197" s="46"/>
      <c r="F197" s="46"/>
      <c r="G197" s="46"/>
      <c r="H197" s="46" t="str">
        <f aca="false">IF(C197="","",IF(COUNTIFS(Drafts!$A$2:$A$251,C197,Drafts!$E$2:$E$251,"&lt;&gt;Adopted",Drafts!$E$2:$E$251,"&lt;&gt;Withdrawn")&gt;0,"Yes","No"))</f>
        <v/>
      </c>
      <c r="I197" s="46" t="str">
        <f aca="false">IF(C197="","",IF(G197&lt;&gt;"Waiting",G197,IF(H197="Yes","● Ready to pick up","Waiting")))</f>
        <v/>
      </c>
      <c r="J197" s="46"/>
      <c r="K197" s="46"/>
    </row>
    <row r="198" customFormat="false" ht="15" hidden="false" customHeight="false" outlineLevel="0" collapsed="false">
      <c r="A198" s="46" t="s">
        <v>3047</v>
      </c>
      <c r="B198" s="46"/>
      <c r="C198" s="46"/>
      <c r="D198" s="46"/>
      <c r="E198" s="46"/>
      <c r="F198" s="46"/>
      <c r="G198" s="46"/>
      <c r="H198" s="46" t="str">
        <f aca="false">IF(C198="","",IF(COUNTIFS(Drafts!$A$2:$A$251,C198,Drafts!$E$2:$E$251,"&lt;&gt;Adopted",Drafts!$E$2:$E$251,"&lt;&gt;Withdrawn")&gt;0,"Yes","No"))</f>
        <v/>
      </c>
      <c r="I198" s="46" t="str">
        <f aca="false">IF(C198="","",IF(G198&lt;&gt;"Waiting",G198,IF(H198="Yes","● Ready to pick up","Waiting")))</f>
        <v/>
      </c>
      <c r="J198" s="46"/>
      <c r="K198" s="46"/>
    </row>
    <row r="199" customFormat="false" ht="15" hidden="false" customHeight="false" outlineLevel="0" collapsed="false">
      <c r="A199" s="46" t="s">
        <v>3048</v>
      </c>
      <c r="B199" s="46"/>
      <c r="C199" s="46"/>
      <c r="D199" s="46"/>
      <c r="E199" s="46"/>
      <c r="F199" s="46"/>
      <c r="G199" s="46"/>
      <c r="H199" s="46" t="str">
        <f aca="false">IF(C199="","",IF(COUNTIFS(Drafts!$A$2:$A$251,C199,Drafts!$E$2:$E$251,"&lt;&gt;Adopted",Drafts!$E$2:$E$251,"&lt;&gt;Withdrawn")&gt;0,"Yes","No"))</f>
        <v/>
      </c>
      <c r="I199" s="46" t="str">
        <f aca="false">IF(C199="","",IF(G199&lt;&gt;"Waiting",G199,IF(H199="Yes","● Ready to pick up","Waiting")))</f>
        <v/>
      </c>
      <c r="J199" s="46"/>
      <c r="K199" s="46"/>
    </row>
    <row r="200" customFormat="false" ht="15" hidden="false" customHeight="false" outlineLevel="0" collapsed="false">
      <c r="A200" s="46" t="s">
        <v>3049</v>
      </c>
      <c r="B200" s="46"/>
      <c r="C200" s="46"/>
      <c r="D200" s="46"/>
      <c r="E200" s="46"/>
      <c r="F200" s="46"/>
      <c r="G200" s="46"/>
      <c r="H200" s="46" t="str">
        <f aca="false">IF(C200="","",IF(COUNTIFS(Drafts!$A$2:$A$251,C200,Drafts!$E$2:$E$251,"&lt;&gt;Adopted",Drafts!$E$2:$E$251,"&lt;&gt;Withdrawn")&gt;0,"Yes","No"))</f>
        <v/>
      </c>
      <c r="I200" s="46" t="str">
        <f aca="false">IF(C200="","",IF(G200&lt;&gt;"Waiting",G200,IF(H200="Yes","● Ready to pick up","Waiting")))</f>
        <v/>
      </c>
      <c r="J200" s="46"/>
      <c r="K200" s="46"/>
    </row>
    <row r="201" customFormat="false" ht="15" hidden="false" customHeight="false" outlineLevel="0" collapsed="false">
      <c r="A201" s="46" t="s">
        <v>3050</v>
      </c>
      <c r="B201" s="46"/>
      <c r="C201" s="46"/>
      <c r="D201" s="46"/>
      <c r="E201" s="46"/>
      <c r="F201" s="46"/>
      <c r="G201" s="46"/>
      <c r="H201" s="46" t="str">
        <f aca="false">IF(C201="","",IF(COUNTIFS(Drafts!$A$2:$A$251,C201,Drafts!$E$2:$E$251,"&lt;&gt;Adopted",Drafts!$E$2:$E$251,"&lt;&gt;Withdrawn")&gt;0,"Yes","No"))</f>
        <v/>
      </c>
      <c r="I201" s="46" t="str">
        <f aca="false">IF(C201="","",IF(G201&lt;&gt;"Waiting",G201,IF(H201="Yes","● Ready to pick up","Waiting")))</f>
        <v/>
      </c>
      <c r="J201" s="46"/>
      <c r="K201" s="46"/>
    </row>
  </sheetData>
  <conditionalFormatting sqref="I2:I201">
    <cfRule type="expression" priority="2" aboveAverage="0" equalAverage="0" bottom="0" percent="0" rank="0" text="" dxfId="4">
      <formula>LEFT(I2,1)="●"</formula>
    </cfRule>
  </conditionalFormatting>
  <dataValidations count="1">
    <dataValidation allowBlank="true" errorStyle="stop" operator="between" showDropDown="false" showErrorMessage="false" showInputMessage="false" sqref="G2:G201" type="list">
      <formula1>"Waiting,Picked up,Done,Dropped"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0"/>
    <col collapsed="false" customWidth="true" hidden="false" outlineLevel="0" max="3" min="3" style="0" width="20"/>
    <col collapsed="false" customWidth="true" hidden="false" outlineLevel="0" max="4" min="4" style="0" width="96"/>
  </cols>
  <sheetData>
    <row r="1" customFormat="false" ht="30" hidden="false" customHeight="true" outlineLevel="0" collapsed="false">
      <c r="A1" s="1" t="s">
        <v>3051</v>
      </c>
      <c r="B1" s="1"/>
      <c r="C1" s="1"/>
      <c r="D1" s="1"/>
    </row>
    <row r="2" customFormat="false" ht="27.75" hidden="false" customHeight="true" outlineLevel="0" collapsed="false">
      <c r="A2" s="2" t="s">
        <v>3052</v>
      </c>
      <c r="B2" s="2"/>
      <c r="C2" s="2"/>
      <c r="D2" s="2"/>
    </row>
    <row r="4" customFormat="false" ht="15" hidden="false" customHeight="true" outlineLevel="0" collapsed="false">
      <c r="A4" s="40" t="s">
        <v>3053</v>
      </c>
      <c r="B4" s="40"/>
      <c r="C4" s="40"/>
      <c r="D4" s="40"/>
    </row>
    <row r="5" customFormat="false" ht="15" hidden="false" customHeight="false" outlineLevel="0" collapsed="false">
      <c r="A5" s="53" t="s">
        <v>3054</v>
      </c>
      <c r="B5" s="53" t="s">
        <v>3055</v>
      </c>
      <c r="C5" s="53" t="s">
        <v>28</v>
      </c>
      <c r="D5" s="53" t="s">
        <v>3056</v>
      </c>
    </row>
    <row r="6" customFormat="false" ht="30" hidden="false" customHeight="true" outlineLevel="0" collapsed="false">
      <c r="A6" s="54" t="n">
        <v>1</v>
      </c>
      <c r="B6" s="55" t="s">
        <v>3057</v>
      </c>
      <c r="C6" s="56" t="s">
        <v>54</v>
      </c>
      <c r="D6" s="56" t="s">
        <v>3058</v>
      </c>
    </row>
    <row r="7" customFormat="false" ht="30" hidden="false" customHeight="true" outlineLevel="0" collapsed="false">
      <c r="A7" s="54" t="n">
        <v>2</v>
      </c>
      <c r="B7" s="55" t="s">
        <v>3059</v>
      </c>
      <c r="C7" s="56" t="s">
        <v>51</v>
      </c>
      <c r="D7" s="56" t="s">
        <v>3060</v>
      </c>
    </row>
    <row r="8" customFormat="false" ht="30" hidden="false" customHeight="true" outlineLevel="0" collapsed="false">
      <c r="A8" s="54" t="n">
        <v>3</v>
      </c>
      <c r="B8" s="55" t="s">
        <v>3061</v>
      </c>
      <c r="C8" s="56" t="s">
        <v>37</v>
      </c>
      <c r="D8" s="56" t="s">
        <v>3062</v>
      </c>
    </row>
    <row r="9" customFormat="false" ht="30" hidden="false" customHeight="true" outlineLevel="0" collapsed="false">
      <c r="A9" s="54" t="n">
        <v>4</v>
      </c>
      <c r="B9" s="55" t="s">
        <v>3063</v>
      </c>
      <c r="C9" s="56" t="s">
        <v>46</v>
      </c>
      <c r="D9" s="56" t="s">
        <v>3064</v>
      </c>
    </row>
    <row r="10" customFormat="false" ht="30" hidden="false" customHeight="true" outlineLevel="0" collapsed="false">
      <c r="A10" s="54" t="n">
        <v>5</v>
      </c>
      <c r="B10" s="55" t="s">
        <v>3065</v>
      </c>
      <c r="C10" s="56" t="s">
        <v>3066</v>
      </c>
      <c r="D10" s="56" t="s">
        <v>3067</v>
      </c>
    </row>
    <row r="12" customFormat="false" ht="19.5" hidden="false" customHeight="true" outlineLevel="0" collapsed="false">
      <c r="A12" s="40" t="s">
        <v>3068</v>
      </c>
      <c r="B12" s="40"/>
      <c r="C12" s="40"/>
      <c r="D12" s="40"/>
    </row>
    <row r="13" customFormat="false" ht="15" hidden="false" customHeight="true" outlineLevel="0" collapsed="false"/>
    <row r="14" customFormat="false" ht="15" hidden="false" customHeight="true" outlineLevel="0" collapsed="false"/>
    <row r="15" customFormat="false" ht="15" hidden="false" customHeight="true" outlineLevel="0" collapsed="false"/>
    <row r="16" customFormat="false" ht="15" hidden="false" customHeight="true" outlineLevel="0" collapsed="false"/>
    <row r="17" customFormat="false" ht="15" hidden="false" customHeight="true" outlineLevel="0" collapsed="false"/>
    <row r="18" customFormat="false" ht="15" hidden="false" customHeight="true" outlineLevel="0" collapsed="false"/>
    <row r="19" customFormat="false" ht="15" hidden="false" customHeight="true" outlineLevel="0" collapsed="false"/>
    <row r="20" customFormat="false" ht="15" hidden="false" customHeight="true" outlineLevel="0" collapsed="false"/>
    <row r="21" customFormat="false" ht="15" hidden="false" customHeight="true" outlineLevel="0" collapsed="false"/>
    <row r="22" customFormat="false" ht="15" hidden="false" customHeight="true" outlineLevel="0" collapsed="false"/>
    <row r="23" customFormat="false" ht="15" hidden="false" customHeight="true" outlineLevel="0" collapsed="false"/>
    <row r="24" customFormat="false" ht="15" hidden="false" customHeight="true" outlineLevel="0" collapsed="false"/>
    <row r="25" customFormat="false" ht="15" hidden="false" customHeight="true" outlineLevel="0" collapsed="false"/>
    <row r="26" customFormat="false" ht="15" hidden="false" customHeight="true" outlineLevel="0" collapsed="false"/>
    <row r="27" customFormat="false" ht="15" hidden="false" customHeight="true" outlineLevel="0" collapsed="false"/>
    <row r="28" customFormat="false" ht="15" hidden="false" customHeight="true" outlineLevel="0" collapsed="false"/>
    <row r="29" customFormat="false" ht="15" hidden="false" customHeight="true" outlineLevel="0" collapsed="false"/>
    <row r="30" customFormat="false" ht="15" hidden="false" customHeight="true" outlineLevel="0" collapsed="false"/>
    <row r="31" customFormat="false" ht="15" hidden="false" customHeight="true" outlineLevel="0" collapsed="false"/>
    <row r="32" customFormat="false" ht="15" hidden="false" customHeight="true" outlineLevel="0" collapsed="false"/>
    <row r="33" customFormat="false" ht="15" hidden="false" customHeight="true" outlineLevel="0" collapsed="false"/>
    <row r="34" customFormat="false" ht="15" hidden="false" customHeight="true" outlineLevel="0" collapsed="false"/>
    <row r="35" customFormat="false" ht="15" hidden="false" customHeight="true" outlineLevel="0" collapsed="false"/>
    <row r="36" customFormat="false" ht="15" hidden="false" customHeight="true" outlineLevel="0" collapsed="false"/>
    <row r="37" customFormat="false" ht="15" hidden="false" customHeight="true" outlineLevel="0" collapsed="false"/>
    <row r="38" customFormat="false" ht="15" hidden="false" customHeight="true" outlineLevel="0" collapsed="false"/>
    <row r="39" customFormat="false" ht="15" hidden="false" customHeight="true" outlineLevel="0" collapsed="false"/>
    <row r="40" customFormat="false" ht="15" hidden="false" customHeight="true" outlineLevel="0" collapsed="false"/>
    <row r="41" customFormat="false" ht="15" hidden="false" customHeight="true" outlineLevel="0" collapsed="false"/>
    <row r="42" customFormat="false" ht="15" hidden="false" customHeight="true" outlineLevel="0" collapsed="false"/>
    <row r="43" customFormat="false" ht="15" hidden="false" customHeight="true" outlineLevel="0" collapsed="false"/>
    <row r="44" customFormat="false" ht="15" hidden="false" customHeight="true" outlineLevel="0" collapsed="false"/>
    <row r="45" customFormat="false" ht="15" hidden="false" customHeight="true" outlineLevel="0" collapsed="false"/>
    <row r="46" customFormat="false" ht="15" hidden="false" customHeight="true" outlineLevel="0" collapsed="false"/>
    <row r="47" customFormat="false" ht="15" hidden="false" customHeight="true" outlineLevel="0" collapsed="false"/>
    <row r="48" customFormat="false" ht="15" hidden="false" customHeight="true" outlineLevel="0" collapsed="false"/>
    <row r="49" customFormat="false" ht="15" hidden="false" customHeight="true" outlineLevel="0" collapsed="false"/>
    <row r="50" customFormat="false" ht="15" hidden="false" customHeight="true" outlineLevel="0" collapsed="false"/>
    <row r="51" customFormat="false" ht="15" hidden="false" customHeight="true" outlineLevel="0" collapsed="false"/>
    <row r="52" customFormat="false" ht="15" hidden="false" customHeight="true" outlineLevel="0" collapsed="false"/>
    <row r="53" customFormat="false" ht="15" hidden="false" customHeight="true" outlineLevel="0" collapsed="false"/>
    <row r="54" customFormat="false" ht="15" hidden="false" customHeight="true" outlineLevel="0" collapsed="false"/>
    <row r="55" customFormat="false" ht="15" hidden="false" customHeight="true" outlineLevel="0" collapsed="false"/>
    <row r="56" customFormat="false" ht="15" hidden="false" customHeight="true" outlineLevel="0" collapsed="false"/>
    <row r="57" customFormat="false" ht="15" hidden="false" customHeight="true" outlineLevel="0" collapsed="false"/>
    <row r="58" customFormat="false" ht="15" hidden="false" customHeight="true" outlineLevel="0" collapsed="false"/>
    <row r="59" customFormat="false" ht="15" hidden="false" customHeight="true" outlineLevel="0" collapsed="false"/>
    <row r="60" customFormat="false" ht="15" hidden="false" customHeight="true" outlineLevel="0" collapsed="false"/>
    <row r="61" customFormat="false" ht="15" hidden="false" customHeight="true" outlineLevel="0" collapsed="false"/>
    <row r="62" customFormat="false" ht="15" hidden="false" customHeight="true" outlineLevel="0" collapsed="false"/>
    <row r="63" customFormat="false" ht="15" hidden="false" customHeight="true" outlineLevel="0" collapsed="false"/>
    <row r="64" customFormat="false" ht="15" hidden="false" customHeight="true" outlineLevel="0" collapsed="false"/>
  </sheetData>
  <mergeCells count="4">
    <mergeCell ref="A1:D1"/>
    <mergeCell ref="A2:D2"/>
    <mergeCell ref="A4:D4"/>
    <mergeCell ref="A12:D1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38:E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46"/>
    <col collapsed="false" customWidth="true" hidden="false" outlineLevel="0" max="4" min="4" style="0" width="30"/>
    <col collapsed="false" customWidth="true" hidden="false" outlineLevel="0" max="5" min="5" style="0" width="12"/>
  </cols>
  <sheetData>
    <row r="38" customFormat="false" ht="15" hidden="false" customHeight="false" outlineLevel="0" collapsed="false">
      <c r="A38" s="57" t="s">
        <v>3069</v>
      </c>
    </row>
    <row r="39" customFormat="false" ht="15" hidden="false" customHeight="false" outlineLevel="0" collapsed="false">
      <c r="A39" s="53" t="s">
        <v>227</v>
      </c>
      <c r="B39" s="53" t="s">
        <v>3070</v>
      </c>
      <c r="C39" s="53" t="s">
        <v>3071</v>
      </c>
      <c r="D39" s="53" t="s">
        <v>3072</v>
      </c>
      <c r="E39" s="53" t="s">
        <v>118</v>
      </c>
    </row>
    <row r="40" customFormat="false" ht="15" hidden="false" customHeight="false" outlineLevel="0" collapsed="false">
      <c r="A40" s="58" t="s">
        <v>280</v>
      </c>
      <c r="B40" s="46" t="s">
        <v>3073</v>
      </c>
      <c r="C40" s="46" t="s">
        <v>3074</v>
      </c>
      <c r="D40" s="46" t="s">
        <v>3075</v>
      </c>
      <c r="E40" s="59" t="n">
        <f aca="false">COUNTIF(Comments!$I$2:$I$2001,A40)</f>
        <v>5</v>
      </c>
    </row>
    <row r="41" customFormat="false" ht="15" hidden="false" customHeight="false" outlineLevel="0" collapsed="false">
      <c r="A41" s="58" t="s">
        <v>240</v>
      </c>
      <c r="B41" s="46" t="s">
        <v>3076</v>
      </c>
      <c r="C41" s="46" t="s">
        <v>3077</v>
      </c>
      <c r="D41" s="46" t="s">
        <v>76</v>
      </c>
      <c r="E41" s="59" t="n">
        <f aca="false">COUNTIF(Comments!$I$2:$I$2001,A41)</f>
        <v>5</v>
      </c>
    </row>
    <row r="42" customFormat="false" ht="15" hidden="false" customHeight="false" outlineLevel="0" collapsed="false">
      <c r="A42" s="58" t="s">
        <v>295</v>
      </c>
      <c r="B42" s="46" t="s">
        <v>3078</v>
      </c>
      <c r="C42" s="46" t="s">
        <v>3079</v>
      </c>
      <c r="D42" s="46" t="s">
        <v>3080</v>
      </c>
      <c r="E42" s="59" t="n">
        <f aca="false">COUNTIF(Comments!$I$2:$I$2001,A42)</f>
        <v>1</v>
      </c>
    </row>
    <row r="43" customFormat="false" ht="15" hidden="false" customHeight="false" outlineLevel="0" collapsed="false">
      <c r="A43" s="58" t="s">
        <v>251</v>
      </c>
      <c r="B43" s="46" t="s">
        <v>3081</v>
      </c>
      <c r="C43" s="46" t="s">
        <v>3082</v>
      </c>
      <c r="D43" s="46" t="s">
        <v>3083</v>
      </c>
      <c r="E43" s="59" t="n">
        <f aca="false">COUNTIF(Comments!$I$2:$I$2001,A43)</f>
        <v>1</v>
      </c>
    </row>
    <row r="44" customFormat="false" ht="15" hidden="false" customHeight="false" outlineLevel="0" collapsed="false">
      <c r="A44" s="58" t="s">
        <v>3084</v>
      </c>
      <c r="B44" s="46" t="s">
        <v>3085</v>
      </c>
      <c r="C44" s="46" t="s">
        <v>3086</v>
      </c>
      <c r="D44" s="46" t="s">
        <v>274</v>
      </c>
      <c r="E44" s="59" t="n">
        <f aca="false">COUNTIF(Comments!$I$2:$I$2001,A44)</f>
        <v>0</v>
      </c>
    </row>
    <row r="45" customFormat="false" ht="15" hidden="false" customHeight="false" outlineLevel="0" collapsed="false">
      <c r="A45" s="58" t="s">
        <v>267</v>
      </c>
      <c r="B45" s="46" t="s">
        <v>3087</v>
      </c>
      <c r="C45" s="46" t="s">
        <v>3088</v>
      </c>
      <c r="D45" s="46" t="s">
        <v>3080</v>
      </c>
      <c r="E45" s="59" t="n">
        <f aca="false">COUNTIF(Comments!$I$2:$I$2001,A45)</f>
        <v>1</v>
      </c>
    </row>
    <row r="46" customFormat="false" ht="15" hidden="false" customHeight="false" outlineLevel="0" collapsed="false">
      <c r="A46" s="58" t="s">
        <v>272</v>
      </c>
      <c r="B46" s="46" t="s">
        <v>3089</v>
      </c>
      <c r="C46" s="46" t="s">
        <v>3090</v>
      </c>
      <c r="D46" s="46" t="s">
        <v>274</v>
      </c>
      <c r="E46" s="59" t="n">
        <f aca="false">COUNTIF(Comments!$I$2:$I$2001,A46)</f>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40"/>
    <col collapsed="false" customWidth="true" hidden="false" outlineLevel="0" max="4" min="4" style="0" width="11"/>
    <col collapsed="false" customWidth="true" hidden="false" outlineLevel="0" max="5" min="5" style="0" width="22"/>
    <col collapsed="false" customWidth="true" hidden="false" outlineLevel="0" max="6" min="6" style="0" width="40"/>
  </cols>
  <sheetData>
    <row r="1" customFormat="false" ht="30" hidden="false" customHeight="true" outlineLevel="0" collapsed="false">
      <c r="A1" s="1" t="s">
        <v>3091</v>
      </c>
      <c r="B1" s="1"/>
      <c r="C1" s="1"/>
      <c r="D1" s="1"/>
      <c r="E1" s="1"/>
      <c r="F1" s="1"/>
    </row>
    <row r="2" customFormat="false" ht="30" hidden="false" customHeight="true" outlineLevel="0" collapsed="false">
      <c r="A2" s="2" t="s">
        <v>3092</v>
      </c>
      <c r="B2" s="2"/>
      <c r="C2" s="2"/>
      <c r="D2" s="2"/>
      <c r="E2" s="2"/>
      <c r="F2" s="2"/>
    </row>
    <row r="4" customFormat="false" ht="15" hidden="false" customHeight="false" outlineLevel="0" collapsed="false">
      <c r="A4" s="53" t="s">
        <v>3054</v>
      </c>
      <c r="B4" s="53" t="s">
        <v>3093</v>
      </c>
      <c r="C4" s="53" t="s">
        <v>3094</v>
      </c>
      <c r="D4" s="53" t="s">
        <v>3095</v>
      </c>
      <c r="E4" s="53" t="s">
        <v>3096</v>
      </c>
      <c r="F4" s="53" t="s">
        <v>3097</v>
      </c>
    </row>
    <row r="5" customFormat="false" ht="31.5" hidden="false" customHeight="true" outlineLevel="0" collapsed="false">
      <c r="A5" s="27" t="n">
        <v>1</v>
      </c>
      <c r="B5" s="60" t="s">
        <v>3098</v>
      </c>
      <c r="C5" s="27" t="s">
        <v>3099</v>
      </c>
      <c r="D5" s="27" t="s">
        <v>2315</v>
      </c>
      <c r="E5" s="27" t="s">
        <v>222</v>
      </c>
      <c r="F5" s="27" t="s">
        <v>3100</v>
      </c>
    </row>
    <row r="6" customFormat="false" ht="31.5" hidden="false" customHeight="true" outlineLevel="0" collapsed="false">
      <c r="A6" s="27" t="n">
        <v>2</v>
      </c>
      <c r="B6" s="60" t="s">
        <v>3101</v>
      </c>
      <c r="C6" s="27" t="s">
        <v>3102</v>
      </c>
      <c r="D6" s="27" t="s">
        <v>2315</v>
      </c>
      <c r="E6" s="27" t="s">
        <v>101</v>
      </c>
      <c r="F6" s="27" t="s">
        <v>3103</v>
      </c>
    </row>
    <row r="7" customFormat="false" ht="31.5" hidden="false" customHeight="true" outlineLevel="0" collapsed="false">
      <c r="A7" s="27" t="n">
        <v>3</v>
      </c>
      <c r="B7" s="60" t="s">
        <v>3104</v>
      </c>
      <c r="C7" s="27" t="s">
        <v>3105</v>
      </c>
      <c r="D7" s="27" t="s">
        <v>2315</v>
      </c>
      <c r="E7" s="27" t="s">
        <v>224</v>
      </c>
      <c r="F7" s="27"/>
    </row>
    <row r="8" customFormat="false" ht="31.5" hidden="false" customHeight="true" outlineLevel="0" collapsed="false">
      <c r="A8" s="27" t="n">
        <v>4</v>
      </c>
      <c r="B8" s="60" t="s">
        <v>3106</v>
      </c>
      <c r="C8" s="27" t="s">
        <v>3107</v>
      </c>
      <c r="D8" s="27" t="s">
        <v>2321</v>
      </c>
      <c r="E8" s="27" t="s">
        <v>225</v>
      </c>
      <c r="F8" s="27"/>
    </row>
    <row r="9" customFormat="false" ht="31.5" hidden="false" customHeight="true" outlineLevel="0" collapsed="false">
      <c r="A9" s="27" t="n">
        <v>5</v>
      </c>
      <c r="B9" s="60" t="s">
        <v>3108</v>
      </c>
      <c r="C9" s="27" t="s">
        <v>3109</v>
      </c>
      <c r="D9" s="27" t="s">
        <v>2315</v>
      </c>
      <c r="E9" s="27" t="s">
        <v>3110</v>
      </c>
      <c r="F9" s="27" t="s">
        <v>3111</v>
      </c>
    </row>
    <row r="10" customFormat="false" ht="31.5" hidden="false" customHeight="true" outlineLevel="0" collapsed="false">
      <c r="A10" s="27" t="n">
        <v>6</v>
      </c>
      <c r="B10" s="60" t="s">
        <v>3112</v>
      </c>
      <c r="C10" s="27" t="s">
        <v>3113</v>
      </c>
      <c r="D10" s="27" t="s">
        <v>2315</v>
      </c>
      <c r="E10" s="27" t="s">
        <v>226</v>
      </c>
      <c r="F10" s="27"/>
    </row>
    <row r="11" customFormat="false" ht="31.5" hidden="false" customHeight="true" outlineLevel="0" collapsed="false">
      <c r="A11" s="27" t="n">
        <v>7</v>
      </c>
      <c r="B11" s="60" t="s">
        <v>3114</v>
      </c>
      <c r="C11" s="27" t="s">
        <v>3113</v>
      </c>
      <c r="D11" s="27" t="s">
        <v>2321</v>
      </c>
      <c r="E11" s="27" t="s">
        <v>226</v>
      </c>
      <c r="F11" s="27" t="s">
        <v>3115</v>
      </c>
    </row>
    <row r="12" customFormat="false" ht="31.5" hidden="false" customHeight="true" outlineLevel="0" collapsed="false">
      <c r="A12" s="61"/>
      <c r="B12" s="62" t="s">
        <v>3116</v>
      </c>
      <c r="C12" s="61"/>
      <c r="D12" s="61"/>
      <c r="E12" s="61" t="s">
        <v>221</v>
      </c>
      <c r="F12" s="61" t="s">
        <v>3117</v>
      </c>
    </row>
    <row r="13" customFormat="false" ht="31.5" hidden="false" customHeight="true" outlineLevel="0" collapsed="false">
      <c r="A13" s="61"/>
      <c r="B13" s="62" t="s">
        <v>3116</v>
      </c>
      <c r="C13" s="61"/>
      <c r="D13" s="61"/>
      <c r="E13" s="61" t="s">
        <v>223</v>
      </c>
      <c r="F13" s="61" t="s">
        <v>3118</v>
      </c>
    </row>
    <row r="14" customFormat="false" ht="31.5" hidden="false" customHeight="true" outlineLevel="0" collapsed="false">
      <c r="A14" s="61"/>
      <c r="B14" s="62" t="s">
        <v>3116</v>
      </c>
      <c r="C14" s="61"/>
      <c r="D14" s="61"/>
      <c r="E14" s="61" t="s">
        <v>122</v>
      </c>
      <c r="F14" s="61" t="s">
        <v>3119</v>
      </c>
    </row>
    <row r="16" customFormat="false" ht="15" hidden="false" customHeight="true" outlineLevel="0" collapsed="false">
      <c r="A16" s="40" t="s">
        <v>3120</v>
      </c>
      <c r="B16" s="40"/>
      <c r="C16" s="40"/>
      <c r="D16" s="40"/>
      <c r="E16" s="40"/>
      <c r="F16" s="40"/>
    </row>
    <row r="17" customFormat="false" ht="31.5" hidden="false" customHeight="true" outlineLevel="0" collapsed="false">
      <c r="A17" s="63" t="s">
        <v>3121</v>
      </c>
      <c r="B17" s="64" t="s">
        <v>3122</v>
      </c>
      <c r="C17" s="64"/>
      <c r="D17" s="64"/>
      <c r="E17" s="64"/>
      <c r="F17" s="64"/>
    </row>
    <row r="18" customFormat="false" ht="31.5" hidden="false" customHeight="true" outlineLevel="0" collapsed="false">
      <c r="A18" s="63" t="s">
        <v>3121</v>
      </c>
      <c r="B18" s="64" t="s">
        <v>3123</v>
      </c>
      <c r="C18" s="64"/>
      <c r="D18" s="64"/>
      <c r="E18" s="64"/>
      <c r="F18" s="64"/>
    </row>
    <row r="19" customFormat="false" ht="31.5" hidden="false" customHeight="true" outlineLevel="0" collapsed="false">
      <c r="A19" s="63" t="s">
        <v>3121</v>
      </c>
      <c r="B19" s="64" t="s">
        <v>3124</v>
      </c>
      <c r="C19" s="64"/>
      <c r="D19" s="64"/>
      <c r="E19" s="64"/>
      <c r="F19" s="64"/>
    </row>
  </sheetData>
  <mergeCells count="6">
    <mergeCell ref="A1:F1"/>
    <mergeCell ref="A2:F2"/>
    <mergeCell ref="A16:F16"/>
    <mergeCell ref="B17:F17"/>
    <mergeCell ref="B18:F18"/>
    <mergeCell ref="B19:F1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10"/>
  </cols>
  <sheetData>
    <row r="1" customFormat="false" ht="17.35" hidden="false" customHeight="false" outlineLevel="0" collapsed="false">
      <c r="A1" s="65" t="s">
        <v>3125</v>
      </c>
      <c r="B1" s="66" t="s">
        <v>3126</v>
      </c>
    </row>
    <row r="2" customFormat="false" ht="23.85" hidden="false" customHeight="false" outlineLevel="0" collapsed="false">
      <c r="A2" s="67" t="s">
        <v>85</v>
      </c>
      <c r="B2" s="46" t="s">
        <v>3127</v>
      </c>
    </row>
    <row r="3" customFormat="false" ht="15" hidden="false" customHeight="false" outlineLevel="0" collapsed="false">
      <c r="A3" s="67" t="s">
        <v>3128</v>
      </c>
      <c r="B3" s="68" t="n">
        <v>46308</v>
      </c>
    </row>
    <row r="4" customFormat="false" ht="15" hidden="false" customHeight="false" outlineLevel="0" collapsed="false">
      <c r="A4" s="67" t="s">
        <v>3129</v>
      </c>
      <c r="B4" s="46" t="s">
        <v>3130</v>
      </c>
    </row>
    <row r="5" customFormat="false" ht="15" hidden="false" customHeight="false" outlineLevel="0" collapsed="false">
      <c r="A5" s="67" t="s">
        <v>3131</v>
      </c>
      <c r="B5" s="68" t="n">
        <v>46323</v>
      </c>
    </row>
    <row r="6" customFormat="false" ht="15" hidden="false" customHeight="false" outlineLevel="0" collapsed="false">
      <c r="A6" s="67" t="s">
        <v>3132</v>
      </c>
      <c r="B6" s="69" t="n">
        <v>30</v>
      </c>
    </row>
    <row r="7" customFormat="false" ht="23.85" hidden="false" customHeight="false" outlineLevel="0" collapsed="false">
      <c r="A7" s="67" t="s">
        <v>3133</v>
      </c>
      <c r="B7" s="46" t="s">
        <v>3134</v>
      </c>
    </row>
    <row r="8" customFormat="false" ht="23.85" hidden="false" customHeight="false" outlineLevel="0" collapsed="false">
      <c r="A8" s="67" t="s">
        <v>3135</v>
      </c>
      <c r="B8" s="46" t="s">
        <v>3136</v>
      </c>
    </row>
    <row r="9" customFormat="false" ht="23.85" hidden="false" customHeight="false" outlineLevel="0" collapsed="false">
      <c r="A9" s="67" t="s">
        <v>3137</v>
      </c>
      <c r="B9" s="46" t="s">
        <v>3138</v>
      </c>
    </row>
    <row r="10" customFormat="false" ht="15" hidden="false" customHeight="false" outlineLevel="0" collapsed="false">
      <c r="A10" s="67" t="s">
        <v>143</v>
      </c>
      <c r="B10" s="46" t="s">
        <v>3139</v>
      </c>
    </row>
    <row r="11" customFormat="false" ht="15" hidden="false" customHeight="false" outlineLevel="0" collapsed="false">
      <c r="A11" s="67" t="s">
        <v>3140</v>
      </c>
      <c r="B11" s="46" t="s">
        <v>3141</v>
      </c>
    </row>
    <row r="12" customFormat="false" ht="15" hidden="false" customHeight="false" outlineLevel="0" collapsed="false">
      <c r="A12" s="67" t="s">
        <v>3142</v>
      </c>
      <c r="B12" s="46" t="s">
        <v>3143</v>
      </c>
    </row>
    <row r="13" customFormat="false" ht="23.85" hidden="false" customHeight="false" outlineLevel="0" collapsed="false">
      <c r="A13" s="67" t="s">
        <v>3144</v>
      </c>
      <c r="B13" s="46" t="s">
        <v>3145</v>
      </c>
    </row>
    <row r="14" customFormat="false" ht="23.85" hidden="false" customHeight="false" outlineLevel="0" collapsed="false">
      <c r="A14" s="67" t="s">
        <v>3146</v>
      </c>
      <c r="B14" s="46" t="s">
        <v>3147</v>
      </c>
    </row>
    <row r="15" customFormat="false" ht="15" hidden="false" customHeight="false" outlineLevel="0" collapsed="false">
      <c r="A15" s="67" t="s">
        <v>65</v>
      </c>
      <c r="B15" s="46" t="s">
        <v>3148</v>
      </c>
    </row>
    <row r="16" customFormat="false" ht="15" hidden="false" customHeight="false" outlineLevel="0" collapsed="false">
      <c r="A16" s="67"/>
      <c r="B16" s="46"/>
    </row>
    <row r="17" customFormat="false" ht="15" hidden="false" customHeight="false" outlineLevel="0" collapsed="false">
      <c r="A17" s="67" t="s">
        <v>3149</v>
      </c>
      <c r="B17" s="46"/>
    </row>
    <row r="18" customFormat="false" ht="23.85" hidden="false" customHeight="false" outlineLevel="0" collapsed="false">
      <c r="A18" s="67" t="s">
        <v>23</v>
      </c>
      <c r="B18" s="46" t="s">
        <v>3150</v>
      </c>
    </row>
    <row r="19" customFormat="false" ht="15" hidden="false" customHeight="false" outlineLevel="0" collapsed="false">
      <c r="A19" s="67" t="s">
        <v>3151</v>
      </c>
      <c r="B19" s="46" t="s">
        <v>3152</v>
      </c>
    </row>
    <row r="20" customFormat="false" ht="15" hidden="false" customHeight="false" outlineLevel="0" collapsed="false">
      <c r="A20" s="67" t="s">
        <v>31</v>
      </c>
      <c r="B20" s="46" t="s">
        <v>3153</v>
      </c>
    </row>
    <row r="21" customFormat="false" ht="15" hidden="false" customHeight="false" outlineLevel="0" collapsed="false">
      <c r="A21" s="67" t="s">
        <v>37</v>
      </c>
      <c r="B21" s="46" t="s">
        <v>3154</v>
      </c>
    </row>
    <row r="22" customFormat="false" ht="15" hidden="false" customHeight="false" outlineLevel="0" collapsed="false">
      <c r="A22" s="67" t="s">
        <v>46</v>
      </c>
      <c r="B22" s="46" t="s">
        <v>3155</v>
      </c>
    </row>
    <row r="23" customFormat="false" ht="15" hidden="false" customHeight="false" outlineLevel="0" collapsed="false">
      <c r="A23" s="67" t="s">
        <v>51</v>
      </c>
      <c r="B23" s="46" t="s">
        <v>3156</v>
      </c>
    </row>
    <row r="24" customFormat="false" ht="15" hidden="false" customHeight="false" outlineLevel="0" collapsed="false">
      <c r="A24" s="67" t="s">
        <v>54</v>
      </c>
      <c r="B24" s="46" t="s">
        <v>3157</v>
      </c>
    </row>
    <row r="25" customFormat="false" ht="15" hidden="false" customHeight="false" outlineLevel="0" collapsed="false">
      <c r="A25" s="67" t="s">
        <v>3158</v>
      </c>
      <c r="B25" s="46" t="s">
        <v>3159</v>
      </c>
    </row>
    <row r="26" customFormat="false" ht="15" hidden="false" customHeight="false" outlineLevel="0" collapsed="false">
      <c r="A26" s="67" t="s">
        <v>3160</v>
      </c>
      <c r="B26" s="46" t="s">
        <v>3161</v>
      </c>
    </row>
    <row r="27" customFormat="false" ht="15" hidden="false" customHeight="false" outlineLevel="0" collapsed="false">
      <c r="A27" s="67" t="s">
        <v>43</v>
      </c>
      <c r="B27" s="46" t="s">
        <v>3162</v>
      </c>
    </row>
    <row r="28" customFormat="false" ht="15" hidden="false" customHeight="false" outlineLevel="0" collapsed="false">
      <c r="A28" s="67" t="s">
        <v>3163</v>
      </c>
      <c r="B28" s="46" t="s">
        <v>3164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5" min="1" style="0" width="30"/>
  </cols>
  <sheetData>
    <row r="1" customFormat="false" ht="15" hidden="false" customHeight="false" outlineLevel="0" collapsed="false">
      <c r="A1" s="53" t="s">
        <v>105</v>
      </c>
      <c r="B1" s="53" t="s">
        <v>227</v>
      </c>
      <c r="C1" s="53" t="s">
        <v>223</v>
      </c>
      <c r="D1" s="53" t="s">
        <v>222</v>
      </c>
      <c r="E1" s="53" t="s">
        <v>114</v>
      </c>
    </row>
    <row r="2" customFormat="false" ht="15" hidden="false" customHeight="false" outlineLevel="0" collapsed="false">
      <c r="A2" s="59" t="s">
        <v>3165</v>
      </c>
      <c r="B2" s="59" t="s">
        <v>280</v>
      </c>
      <c r="C2" s="59" t="s">
        <v>236</v>
      </c>
      <c r="D2" s="59" t="s">
        <v>235</v>
      </c>
      <c r="E2" s="59" t="s">
        <v>3166</v>
      </c>
    </row>
    <row r="3" customFormat="false" ht="15" hidden="false" customHeight="false" outlineLevel="0" collapsed="false">
      <c r="A3" s="59" t="s">
        <v>147</v>
      </c>
      <c r="B3" s="59" t="s">
        <v>240</v>
      </c>
      <c r="C3" s="59" t="s">
        <v>3118</v>
      </c>
      <c r="D3" s="59" t="s">
        <v>254</v>
      </c>
      <c r="E3" s="59" t="s">
        <v>143</v>
      </c>
    </row>
    <row r="4" customFormat="false" ht="15" hidden="false" customHeight="false" outlineLevel="0" collapsed="false">
      <c r="A4" s="59" t="s">
        <v>157</v>
      </c>
      <c r="B4" s="59" t="s">
        <v>295</v>
      </c>
      <c r="C4" s="59" t="s">
        <v>277</v>
      </c>
      <c r="D4" s="59" t="s">
        <v>293</v>
      </c>
      <c r="E4" s="59" t="s">
        <v>3167</v>
      </c>
    </row>
    <row r="5" customFormat="false" ht="15" hidden="false" customHeight="false" outlineLevel="0" collapsed="false">
      <c r="A5" s="59" t="s">
        <v>2</v>
      </c>
      <c r="B5" s="59" t="s">
        <v>251</v>
      </c>
      <c r="C5" s="59" t="s">
        <v>255</v>
      </c>
      <c r="E5" s="59" t="s">
        <v>196</v>
      </c>
    </row>
    <row r="6" customFormat="false" ht="15" hidden="false" customHeight="false" outlineLevel="0" collapsed="false">
      <c r="A6" s="59" t="s">
        <v>3168</v>
      </c>
      <c r="B6" s="59" t="s">
        <v>3084</v>
      </c>
      <c r="C6" s="59" t="s">
        <v>270</v>
      </c>
      <c r="E6" s="59" t="s">
        <v>171</v>
      </c>
    </row>
    <row r="7" customFormat="false" ht="15" hidden="false" customHeight="false" outlineLevel="0" collapsed="false">
      <c r="A7" s="59" t="s">
        <v>166</v>
      </c>
      <c r="B7" s="59" t="s">
        <v>267</v>
      </c>
      <c r="C7" s="59" t="s">
        <v>304</v>
      </c>
      <c r="E7" s="59" t="s">
        <v>133</v>
      </c>
    </row>
    <row r="8" customFormat="false" ht="15" hidden="false" customHeight="false" outlineLevel="0" collapsed="false">
      <c r="A8" s="59" t="s">
        <v>196</v>
      </c>
      <c r="B8" s="59" t="s">
        <v>272</v>
      </c>
      <c r="C8" s="59" t="s">
        <v>3169</v>
      </c>
      <c r="E8" s="59" t="s">
        <v>152</v>
      </c>
    </row>
    <row r="9" customFormat="false" ht="15" hidden="false" customHeight="false" outlineLevel="0" collapsed="false">
      <c r="A9" s="59" t="s">
        <v>206</v>
      </c>
      <c r="E9" s="59" t="s">
        <v>3170</v>
      </c>
    </row>
    <row r="10" customFormat="false" ht="15" hidden="false" customHeight="false" outlineLevel="0" collapsed="false">
      <c r="A10" s="59" t="s">
        <v>3171</v>
      </c>
      <c r="E10" s="59" t="s">
        <v>201</v>
      </c>
    </row>
    <row r="11" customFormat="false" ht="15" hidden="false" customHeight="false" outlineLevel="0" collapsed="false">
      <c r="A11" s="59" t="s">
        <v>3172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200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3173</v>
      </c>
    </row>
    <row r="4" customFormat="false" ht="15" hidden="false" customHeight="false" outlineLevel="0" collapsed="false">
      <c r="A4" s="0" t="n">
        <f aca="false">IF(OR(Drafts!A2="",Drafts!E2="Withdrawn",AND(Drafts!E2="Adopted",OR(Drafts!N2="Complete",Drafts!N2="Not needed"))),"",IFERROR(MATCH(Drafts!E2,StageList,0),99)*1000+2)</f>
        <v>4002</v>
      </c>
      <c r="C4" s="0" t="n">
        <f aca="false">IF(AND(Comments!B2='Policy card'!$C$3,Comments!N2="Open"),1,0)</f>
        <v>0</v>
      </c>
      <c r="D4" s="0" t="str">
        <f aca="false">IF(C4=1,E4,IF(P4=1,$E$2003+Q4,""))</f>
        <v/>
      </c>
      <c r="E4" s="0" t="n">
        <f aca="false">0+C4</f>
        <v>0</v>
      </c>
      <c r="F4" s="0" t="n">
        <f aca="false">IF(AND('Deferred edits'!C2&lt;&gt;"",OR('Deferred edits'!C2='Policy card'!$C$3,'Deferred edits'!B2='Policy card'!$C$3)),1,0)</f>
        <v>1</v>
      </c>
      <c r="G4" s="0" t="n">
        <f aca="false">IF(F4=1,H4,"")</f>
        <v>1</v>
      </c>
      <c r="H4" s="0" t="n">
        <f aca="false">0+F4</f>
        <v>1</v>
      </c>
      <c r="I4" s="0" t="n">
        <f aca="false">IF('Deferred edits'!G2="Waiting",1,0)</f>
        <v>1</v>
      </c>
      <c r="J4" s="0" t="n">
        <f aca="false">IF(I4=1,K4,"")</f>
        <v>1</v>
      </c>
      <c r="K4" s="0" t="n">
        <f aca="false">0+I4</f>
        <v>1</v>
      </c>
      <c r="L4" s="0" t="n">
        <f aca="false">IF(AND(Versions!B2&lt;&gt;"",Versions!B2='Policy card'!$C$3),1,0)</f>
        <v>0</v>
      </c>
      <c r="M4" s="0" t="str">
        <f aca="false">IF(L4=1,N4,"")</f>
        <v/>
      </c>
      <c r="N4" s="0" t="n">
        <f aca="false">0+L4</f>
        <v>0</v>
      </c>
      <c r="P4" s="0" t="n">
        <f aca="false">IF(AND(Comments!B2='Policy card'!$C$3,Comments!N2="Closed"),1,0)</f>
        <v>0</v>
      </c>
      <c r="Q4" s="0" t="n">
        <f aca="false">0+P4</f>
        <v>0</v>
      </c>
    </row>
    <row r="5" customFormat="false" ht="15" hidden="false" customHeight="false" outlineLevel="0" collapsed="false">
      <c r="A5" s="0" t="n">
        <f aca="false">IF(OR(Drafts!A3="",Drafts!E3="Withdrawn",AND(Drafts!E3="Adopted",OR(Drafts!N3="Complete",Drafts!N3="Not needed"))),"",IFERROR(MATCH(Drafts!E3,StageList,0),99)*1000+3)</f>
        <v>4003</v>
      </c>
      <c r="C5" s="0" t="n">
        <f aca="false">IF(AND(Comments!B3='Policy card'!$C$3,Comments!N3="Open"),1,0)</f>
        <v>0</v>
      </c>
      <c r="D5" s="0" t="str">
        <f aca="false">IF(C5=1,E5,IF(P5=1,$E$2003+Q5,""))</f>
        <v/>
      </c>
      <c r="E5" s="0" t="n">
        <f aca="false">E4+C5</f>
        <v>0</v>
      </c>
      <c r="F5" s="0" t="n">
        <f aca="false">IF(AND('Deferred edits'!C3&lt;&gt;"",OR('Deferred edits'!C3='Policy card'!$C$3,'Deferred edits'!B3='Policy card'!$C$3)),1,0)</f>
        <v>0</v>
      </c>
      <c r="G5" s="0" t="str">
        <f aca="false">IF(F5=1,H5,"")</f>
        <v/>
      </c>
      <c r="H5" s="0" t="n">
        <f aca="false">H4+F5</f>
        <v>1</v>
      </c>
      <c r="I5" s="0" t="n">
        <f aca="false">IF('Deferred edits'!G3="Waiting",1,0)</f>
        <v>1</v>
      </c>
      <c r="J5" s="0" t="n">
        <f aca="false">IF(I5=1,K5,"")</f>
        <v>2</v>
      </c>
      <c r="K5" s="0" t="n">
        <f aca="false">K4+I5</f>
        <v>2</v>
      </c>
      <c r="L5" s="0" t="n">
        <f aca="false">IF(AND(Versions!B3&lt;&gt;"",Versions!B3='Policy card'!$C$3),1,0)</f>
        <v>0</v>
      </c>
      <c r="M5" s="0" t="str">
        <f aca="false">IF(L5=1,N5,"")</f>
        <v/>
      </c>
      <c r="N5" s="0" t="n">
        <f aca="false">N4+L5</f>
        <v>0</v>
      </c>
      <c r="P5" s="0" t="n">
        <f aca="false">IF(AND(Comments!B3='Policy card'!$C$3,Comments!N3="Closed"),1,0)</f>
        <v>0</v>
      </c>
      <c r="Q5" s="0" t="n">
        <f aca="false">Q4+P5</f>
        <v>0</v>
      </c>
    </row>
    <row r="6" customFormat="false" ht="15" hidden="false" customHeight="false" outlineLevel="0" collapsed="false">
      <c r="A6" s="0" t="n">
        <f aca="false">IF(OR(Drafts!A4="",Drafts!E4="Withdrawn",AND(Drafts!E4="Adopted",OR(Drafts!N4="Complete",Drafts!N4="Not needed"))),"",IFERROR(MATCH(Drafts!E4,StageList,0),99)*1000+4)</f>
        <v>2004</v>
      </c>
      <c r="C6" s="0" t="n">
        <f aca="false">IF(AND(Comments!B4='Policy card'!$C$3,Comments!N4="Open"),1,0)</f>
        <v>0</v>
      </c>
      <c r="D6" s="0" t="str">
        <f aca="false">IF(C6=1,E6,IF(P6=1,$E$2003+Q6,""))</f>
        <v/>
      </c>
      <c r="E6" s="0" t="n">
        <f aca="false">E5+C6</f>
        <v>0</v>
      </c>
      <c r="F6" s="0" t="n">
        <f aca="false">IF(AND('Deferred edits'!C4&lt;&gt;"",OR('Deferred edits'!C4='Policy card'!$C$3,'Deferred edits'!B4='Policy card'!$C$3)),1,0)</f>
        <v>0</v>
      </c>
      <c r="G6" s="0" t="str">
        <f aca="false">IF(F6=1,H6,"")</f>
        <v/>
      </c>
      <c r="H6" s="0" t="n">
        <f aca="false">H5+F6</f>
        <v>1</v>
      </c>
      <c r="I6" s="0" t="n">
        <f aca="false">IF('Deferred edits'!G4="Waiting",1,0)</f>
        <v>1</v>
      </c>
      <c r="J6" s="0" t="n">
        <f aca="false">IF(I6=1,K6,"")</f>
        <v>3</v>
      </c>
      <c r="K6" s="0" t="n">
        <f aca="false">K5+I6</f>
        <v>3</v>
      </c>
      <c r="L6" s="0" t="n">
        <f aca="false">IF(AND(Versions!B4&lt;&gt;"",Versions!B4='Policy card'!$C$3),1,0)</f>
        <v>0</v>
      </c>
      <c r="M6" s="0" t="str">
        <f aca="false">IF(L6=1,N6,"")</f>
        <v/>
      </c>
      <c r="N6" s="0" t="n">
        <f aca="false">N5+L6</f>
        <v>0</v>
      </c>
      <c r="P6" s="0" t="n">
        <f aca="false">IF(AND(Comments!B4='Policy card'!$C$3,Comments!N4="Closed"),1,0)</f>
        <v>0</v>
      </c>
      <c r="Q6" s="0" t="n">
        <f aca="false">Q5+P6</f>
        <v>0</v>
      </c>
    </row>
    <row r="7" customFormat="false" ht="15" hidden="false" customHeight="false" outlineLevel="0" collapsed="false">
      <c r="A7" s="0" t="n">
        <f aca="false">IF(OR(Drafts!A5="",Drafts!E5="Withdrawn",AND(Drafts!E5="Adopted",OR(Drafts!N5="Complete",Drafts!N5="Not needed"))),"",IFERROR(MATCH(Drafts!E5,StageList,0),99)*1000+5)</f>
        <v>3005</v>
      </c>
      <c r="C7" s="0" t="n">
        <f aca="false">IF(AND(Comments!B5='Policy card'!$C$3,Comments!N5="Open"),1,0)</f>
        <v>0</v>
      </c>
      <c r="D7" s="0" t="str">
        <f aca="false">IF(C7=1,E7,IF(P7=1,$E$2003+Q7,""))</f>
        <v/>
      </c>
      <c r="E7" s="0" t="n">
        <f aca="false">E6+C7</f>
        <v>0</v>
      </c>
      <c r="F7" s="0" t="n">
        <f aca="false">IF(AND('Deferred edits'!C5&lt;&gt;"",OR('Deferred edits'!C5='Policy card'!$C$3,'Deferred edits'!B5='Policy card'!$C$3)),1,0)</f>
        <v>0</v>
      </c>
      <c r="G7" s="0" t="str">
        <f aca="false">IF(F7=1,H7,"")</f>
        <v/>
      </c>
      <c r="H7" s="0" t="n">
        <f aca="false">H6+F7</f>
        <v>1</v>
      </c>
      <c r="I7" s="0" t="n">
        <f aca="false">IF('Deferred edits'!G5="Waiting",1,0)</f>
        <v>1</v>
      </c>
      <c r="J7" s="0" t="n">
        <f aca="false">IF(I7=1,K7,"")</f>
        <v>4</v>
      </c>
      <c r="K7" s="0" t="n">
        <f aca="false">K6+I7</f>
        <v>4</v>
      </c>
      <c r="L7" s="0" t="n">
        <f aca="false">IF(AND(Versions!B5&lt;&gt;"",Versions!B5='Policy card'!$C$3),1,0)</f>
        <v>0</v>
      </c>
      <c r="M7" s="0" t="str">
        <f aca="false">IF(L7=1,N7,"")</f>
        <v/>
      </c>
      <c r="N7" s="0" t="n">
        <f aca="false">N6+L7</f>
        <v>0</v>
      </c>
      <c r="P7" s="0" t="n">
        <f aca="false">IF(AND(Comments!B5='Policy card'!$C$3,Comments!N5="Closed"),1,0)</f>
        <v>0</v>
      </c>
      <c r="Q7" s="0" t="n">
        <f aca="false">Q6+P7</f>
        <v>0</v>
      </c>
    </row>
    <row r="8" customFormat="false" ht="15" hidden="false" customHeight="false" outlineLevel="0" collapsed="false">
      <c r="A8" s="0" t="n">
        <f aca="false">IF(OR(Drafts!A6="",Drafts!E6="Withdrawn",AND(Drafts!E6="Adopted",OR(Drafts!N6="Complete",Drafts!N6="Not needed"))),"",IFERROR(MATCH(Drafts!E6,StageList,0),99)*1000+6)</f>
        <v>6006</v>
      </c>
      <c r="C8" s="0" t="n">
        <f aca="false">IF(AND(Comments!B6='Policy card'!$C$3,Comments!N6="Open"),1,0)</f>
        <v>0</v>
      </c>
      <c r="D8" s="0" t="str">
        <f aca="false">IF(C8=1,E8,IF(P8=1,$E$2003+Q8,""))</f>
        <v/>
      </c>
      <c r="E8" s="0" t="n">
        <f aca="false">E7+C8</f>
        <v>0</v>
      </c>
      <c r="F8" s="0" t="n">
        <f aca="false">IF(AND('Deferred edits'!C6&lt;&gt;"",OR('Deferred edits'!C6='Policy card'!$C$3,'Deferred edits'!B6='Policy card'!$C$3)),1,0)</f>
        <v>0</v>
      </c>
      <c r="G8" s="0" t="str">
        <f aca="false">IF(F8=1,H8,"")</f>
        <v/>
      </c>
      <c r="H8" s="0" t="n">
        <f aca="false">H7+F8</f>
        <v>1</v>
      </c>
      <c r="I8" s="0" t="n">
        <f aca="false">IF('Deferred edits'!G6="Waiting",1,0)</f>
        <v>1</v>
      </c>
      <c r="J8" s="0" t="n">
        <f aca="false">IF(I8=1,K8,"")</f>
        <v>5</v>
      </c>
      <c r="K8" s="0" t="n">
        <f aca="false">K7+I8</f>
        <v>5</v>
      </c>
      <c r="L8" s="0" t="n">
        <f aca="false">IF(AND(Versions!B6&lt;&gt;"",Versions!B6='Policy card'!$C$3),1,0)</f>
        <v>1</v>
      </c>
      <c r="M8" s="0" t="n">
        <f aca="false">IF(L8=1,N8,"")</f>
        <v>1</v>
      </c>
      <c r="N8" s="0" t="n">
        <f aca="false">N7+L8</f>
        <v>1</v>
      </c>
      <c r="P8" s="0" t="n">
        <f aca="false">IF(AND(Comments!B6='Policy card'!$C$3,Comments!N6="Closed"),1,0)</f>
        <v>0</v>
      </c>
      <c r="Q8" s="0" t="n">
        <f aca="false">Q7+P8</f>
        <v>0</v>
      </c>
    </row>
    <row r="9" customFormat="false" ht="15" hidden="false" customHeight="false" outlineLevel="0" collapsed="false">
      <c r="A9" s="0" t="n">
        <f aca="false">IF(OR(Drafts!A7="",Drafts!E7="Withdrawn",AND(Drafts!E7="Adopted",OR(Drafts!N7="Complete",Drafts!N7="Not needed"))),"",IFERROR(MATCH(Drafts!E7,StageList,0),99)*1000+7)</f>
        <v>6007</v>
      </c>
      <c r="C9" s="0" t="n">
        <f aca="false">IF(AND(Comments!B7='Policy card'!$C$3,Comments!N7="Open"),1,0)</f>
        <v>0</v>
      </c>
      <c r="D9" s="0" t="str">
        <f aca="false">IF(C9=1,E9,IF(P9=1,$E$2003+Q9,""))</f>
        <v/>
      </c>
      <c r="E9" s="0" t="n">
        <f aca="false">E8+C9</f>
        <v>0</v>
      </c>
      <c r="F9" s="0" t="n">
        <f aca="false">IF(AND('Deferred edits'!C7&lt;&gt;"",OR('Deferred edits'!C7='Policy card'!$C$3,'Deferred edits'!B7='Policy card'!$C$3)),1,0)</f>
        <v>0</v>
      </c>
      <c r="G9" s="0" t="str">
        <f aca="false">IF(F9=1,H9,"")</f>
        <v/>
      </c>
      <c r="H9" s="0" t="n">
        <f aca="false">H8+F9</f>
        <v>1</v>
      </c>
      <c r="I9" s="0" t="n">
        <f aca="false">IF('Deferred edits'!G7="Waiting",1,0)</f>
        <v>0</v>
      </c>
      <c r="J9" s="0" t="str">
        <f aca="false">IF(I9=1,K9,"")</f>
        <v/>
      </c>
      <c r="K9" s="0" t="n">
        <f aca="false">K8+I9</f>
        <v>5</v>
      </c>
      <c r="L9" s="0" t="n">
        <f aca="false">IF(AND(Versions!B7&lt;&gt;"",Versions!B7='Policy card'!$C$3),1,0)</f>
        <v>1</v>
      </c>
      <c r="M9" s="0" t="n">
        <f aca="false">IF(L9=1,N9,"")</f>
        <v>2</v>
      </c>
      <c r="N9" s="0" t="n">
        <f aca="false">N8+L9</f>
        <v>2</v>
      </c>
      <c r="P9" s="0" t="n">
        <f aca="false">IF(AND(Comments!B7='Policy card'!$C$3,Comments!N7="Closed"),1,0)</f>
        <v>0</v>
      </c>
      <c r="Q9" s="0" t="n">
        <f aca="false">Q8+P9</f>
        <v>0</v>
      </c>
    </row>
    <row r="10" customFormat="false" ht="15" hidden="false" customHeight="false" outlineLevel="0" collapsed="false">
      <c r="A10" s="0" t="n">
        <f aca="false">IF(OR(Drafts!A8="",Drafts!E8="Withdrawn",AND(Drafts!E8="Adopted",OR(Drafts!N8="Complete",Drafts!N8="Not needed"))),"",IFERROR(MATCH(Drafts!E8,StageList,0),99)*1000+8)</f>
        <v>6008</v>
      </c>
      <c r="C10" s="0" t="n">
        <f aca="false">IF(AND(Comments!B8='Policy card'!$C$3,Comments!N8="Open"),1,0)</f>
        <v>0</v>
      </c>
      <c r="D10" s="0" t="str">
        <f aca="false">IF(C10=1,E10,IF(P10=1,$E$2003+Q10,""))</f>
        <v/>
      </c>
      <c r="E10" s="0" t="n">
        <f aca="false">E9+C10</f>
        <v>0</v>
      </c>
      <c r="F10" s="0" t="n">
        <f aca="false">IF(AND('Deferred edits'!C8&lt;&gt;"",OR('Deferred edits'!C8='Policy card'!$C$3,'Deferred edits'!B8='Policy card'!$C$3)),1,0)</f>
        <v>0</v>
      </c>
      <c r="G10" s="0" t="str">
        <f aca="false">IF(F10=1,H10,"")</f>
        <v/>
      </c>
      <c r="H10" s="0" t="n">
        <f aca="false">H9+F10</f>
        <v>1</v>
      </c>
      <c r="I10" s="0" t="n">
        <f aca="false">IF('Deferred edits'!G8="Waiting",1,0)</f>
        <v>0</v>
      </c>
      <c r="J10" s="0" t="str">
        <f aca="false">IF(I10=1,K10,"")</f>
        <v/>
      </c>
      <c r="K10" s="0" t="n">
        <f aca="false">K9+I10</f>
        <v>5</v>
      </c>
      <c r="L10" s="0" t="n">
        <f aca="false">IF(AND(Versions!B8&lt;&gt;"",Versions!B8='Policy card'!$C$3),1,0)</f>
        <v>0</v>
      </c>
      <c r="M10" s="0" t="str">
        <f aca="false">IF(L10=1,N10,"")</f>
        <v/>
      </c>
      <c r="N10" s="0" t="n">
        <f aca="false">N9+L10</f>
        <v>2</v>
      </c>
      <c r="P10" s="0" t="n">
        <f aca="false">IF(AND(Comments!B8='Policy card'!$C$3,Comments!N8="Closed"),1,0)</f>
        <v>0</v>
      </c>
      <c r="Q10" s="0" t="n">
        <f aca="false">Q9+P10</f>
        <v>0</v>
      </c>
    </row>
    <row r="11" customFormat="false" ht="15" hidden="false" customHeight="false" outlineLevel="0" collapsed="false">
      <c r="A11" s="0" t="n">
        <f aca="false">IF(OR(Drafts!A9="",Drafts!E9="Withdrawn",AND(Drafts!E9="Adopted",OR(Drafts!N9="Complete",Drafts!N9="Not needed"))),"",IFERROR(MATCH(Drafts!E9,StageList,0),99)*1000+9)</f>
        <v>6009</v>
      </c>
      <c r="C11" s="0" t="n">
        <f aca="false">IF(AND(Comments!B9='Policy card'!$C$3,Comments!N9="Open"),1,0)</f>
        <v>0</v>
      </c>
      <c r="D11" s="0" t="n">
        <f aca="false">IF(C11=1,E11,IF(P11=1,$E$2003+Q11,""))</f>
        <v>1</v>
      </c>
      <c r="E11" s="0" t="n">
        <f aca="false">E10+C11</f>
        <v>0</v>
      </c>
      <c r="F11" s="0" t="n">
        <f aca="false">IF(AND('Deferred edits'!C9&lt;&gt;"",OR('Deferred edits'!C9='Policy card'!$C$3,'Deferred edits'!B9='Policy card'!$C$3)),1,0)</f>
        <v>0</v>
      </c>
      <c r="G11" s="0" t="str">
        <f aca="false">IF(F11=1,H11,"")</f>
        <v/>
      </c>
      <c r="H11" s="0" t="n">
        <f aca="false">H10+F11</f>
        <v>1</v>
      </c>
      <c r="I11" s="0" t="n">
        <f aca="false">IF('Deferred edits'!G9="Waiting",1,0)</f>
        <v>0</v>
      </c>
      <c r="J11" s="0" t="str">
        <f aca="false">IF(I11=1,K11,"")</f>
        <v/>
      </c>
      <c r="K11" s="0" t="n">
        <f aca="false">K10+I11</f>
        <v>5</v>
      </c>
      <c r="L11" s="0" t="n">
        <f aca="false">IF(AND(Versions!B9&lt;&gt;"",Versions!B9='Policy card'!$C$3),1,0)</f>
        <v>0</v>
      </c>
      <c r="M11" s="0" t="str">
        <f aca="false">IF(L11=1,N11,"")</f>
        <v/>
      </c>
      <c r="N11" s="0" t="n">
        <f aca="false">N10+L11</f>
        <v>2</v>
      </c>
      <c r="P11" s="0" t="n">
        <f aca="false">IF(AND(Comments!B9='Policy card'!$C$3,Comments!N9="Closed"),1,0)</f>
        <v>1</v>
      </c>
      <c r="Q11" s="0" t="n">
        <f aca="false">Q10+P11</f>
        <v>1</v>
      </c>
    </row>
    <row r="12" customFormat="false" ht="15" hidden="false" customHeight="false" outlineLevel="0" collapsed="false">
      <c r="A12" s="0" t="n">
        <f aca="false">IF(OR(Drafts!A10="",Drafts!E10="Withdrawn",AND(Drafts!E10="Adopted",OR(Drafts!N10="Complete",Drafts!N10="Not needed"))),"",IFERROR(MATCH(Drafts!E10,StageList,0),99)*1000+10)</f>
        <v>7010</v>
      </c>
      <c r="C12" s="0" t="n">
        <f aca="false">IF(AND(Comments!B10='Policy card'!$C$3,Comments!N10="Open"),1,0)</f>
        <v>0</v>
      </c>
      <c r="D12" s="0" t="n">
        <f aca="false">IF(C12=1,E12,IF(P12=1,$E$2003+Q12,""))</f>
        <v>2</v>
      </c>
      <c r="E12" s="0" t="n">
        <f aca="false">E11+C12</f>
        <v>0</v>
      </c>
      <c r="F12" s="0" t="n">
        <f aca="false">IF(AND('Deferred edits'!C10&lt;&gt;"",OR('Deferred edits'!C10='Policy card'!$C$3,'Deferred edits'!B10='Policy card'!$C$3)),1,0)</f>
        <v>0</v>
      </c>
      <c r="G12" s="0" t="str">
        <f aca="false">IF(F12=1,H12,"")</f>
        <v/>
      </c>
      <c r="H12" s="0" t="n">
        <f aca="false">H11+F12</f>
        <v>1</v>
      </c>
      <c r="I12" s="0" t="n">
        <f aca="false">IF('Deferred edits'!G10="Waiting",1,0)</f>
        <v>0</v>
      </c>
      <c r="J12" s="0" t="str">
        <f aca="false">IF(I12=1,K12,"")</f>
        <v/>
      </c>
      <c r="K12" s="0" t="n">
        <f aca="false">K11+I12</f>
        <v>5</v>
      </c>
      <c r="L12" s="0" t="n">
        <f aca="false">IF(AND(Versions!B10&lt;&gt;"",Versions!B10='Policy card'!$C$3),1,0)</f>
        <v>0</v>
      </c>
      <c r="M12" s="0" t="str">
        <f aca="false">IF(L12=1,N12,"")</f>
        <v/>
      </c>
      <c r="N12" s="0" t="n">
        <f aca="false">N11+L12</f>
        <v>2</v>
      </c>
      <c r="P12" s="0" t="n">
        <f aca="false">IF(AND(Comments!B10='Policy card'!$C$3,Comments!N10="Closed"),1,0)</f>
        <v>1</v>
      </c>
      <c r="Q12" s="0" t="n">
        <f aca="false">Q11+P12</f>
        <v>2</v>
      </c>
    </row>
    <row r="13" customFormat="false" ht="15" hidden="false" customHeight="false" outlineLevel="0" collapsed="false">
      <c r="A13" s="0" t="n">
        <f aca="false">IF(OR(Drafts!A11="",Drafts!E11="Withdrawn",AND(Drafts!E11="Adopted",OR(Drafts!N11="Complete",Drafts!N11="Not needed"))),"",IFERROR(MATCH(Drafts!E11,StageList,0),99)*1000+11)</f>
        <v>8011</v>
      </c>
      <c r="C13" s="0" t="n">
        <f aca="false">IF(AND(Comments!B11='Policy card'!$C$3,Comments!N11="Open"),1,0)</f>
        <v>0</v>
      </c>
      <c r="D13" s="0" t="n">
        <f aca="false">IF(C13=1,E13,IF(P13=1,$E$2003+Q13,""))</f>
        <v>3</v>
      </c>
      <c r="E13" s="0" t="n">
        <f aca="false">E12+C13</f>
        <v>0</v>
      </c>
      <c r="F13" s="0" t="n">
        <f aca="false">IF(AND('Deferred edits'!C11&lt;&gt;"",OR('Deferred edits'!C11='Policy card'!$C$3,'Deferred edits'!B11='Policy card'!$C$3)),1,0)</f>
        <v>0</v>
      </c>
      <c r="G13" s="0" t="str">
        <f aca="false">IF(F13=1,H13,"")</f>
        <v/>
      </c>
      <c r="H13" s="0" t="n">
        <f aca="false">H12+F13</f>
        <v>1</v>
      </c>
      <c r="I13" s="0" t="n">
        <f aca="false">IF('Deferred edits'!G11="Waiting",1,0)</f>
        <v>0</v>
      </c>
      <c r="J13" s="0" t="str">
        <f aca="false">IF(I13=1,K13,"")</f>
        <v/>
      </c>
      <c r="K13" s="0" t="n">
        <f aca="false">K12+I13</f>
        <v>5</v>
      </c>
      <c r="L13" s="0" t="n">
        <f aca="false">IF(AND(Versions!B11&lt;&gt;"",Versions!B11='Policy card'!$C$3),1,0)</f>
        <v>0</v>
      </c>
      <c r="M13" s="0" t="str">
        <f aca="false">IF(L13=1,N13,"")</f>
        <v/>
      </c>
      <c r="N13" s="0" t="n">
        <f aca="false">N12+L13</f>
        <v>2</v>
      </c>
      <c r="P13" s="0" t="n">
        <f aca="false">IF(AND(Comments!B11='Policy card'!$C$3,Comments!N11="Closed"),1,0)</f>
        <v>1</v>
      </c>
      <c r="Q13" s="0" t="n">
        <f aca="false">Q12+P13</f>
        <v>3</v>
      </c>
    </row>
    <row r="14" customFormat="false" ht="15" hidden="false" customHeight="false" outlineLevel="0" collapsed="false">
      <c r="A14" s="0" t="n">
        <f aca="false">IF(OR(Drafts!A12="",Drafts!E12="Withdrawn",AND(Drafts!E12="Adopted",OR(Drafts!N12="Complete",Drafts!N12="Not needed"))),"",IFERROR(MATCH(Drafts!E12,StageList,0),99)*1000+12)</f>
        <v>8012</v>
      </c>
      <c r="C14" s="0" t="n">
        <f aca="false">IF(AND(Comments!B12='Policy card'!$C$3,Comments!N12="Open"),1,0)</f>
        <v>0</v>
      </c>
      <c r="D14" s="0" t="n">
        <f aca="false">IF(C14=1,E14,IF(P14=1,$E$2003+Q14,""))</f>
        <v>4</v>
      </c>
      <c r="E14" s="0" t="n">
        <f aca="false">E13+C14</f>
        <v>0</v>
      </c>
      <c r="F14" s="0" t="n">
        <f aca="false">IF(AND('Deferred edits'!C12&lt;&gt;"",OR('Deferred edits'!C12='Policy card'!$C$3,'Deferred edits'!B12='Policy card'!$C$3)),1,0)</f>
        <v>0</v>
      </c>
      <c r="G14" s="0" t="str">
        <f aca="false">IF(F14=1,H14,"")</f>
        <v/>
      </c>
      <c r="H14" s="0" t="n">
        <f aca="false">H13+F14</f>
        <v>1</v>
      </c>
      <c r="I14" s="0" t="n">
        <f aca="false">IF('Deferred edits'!G12="Waiting",1,0)</f>
        <v>0</v>
      </c>
      <c r="J14" s="0" t="str">
        <f aca="false">IF(I14=1,K14,"")</f>
        <v/>
      </c>
      <c r="K14" s="0" t="n">
        <f aca="false">K13+I14</f>
        <v>5</v>
      </c>
      <c r="L14" s="0" t="n">
        <f aca="false">IF(AND(Versions!B12&lt;&gt;"",Versions!B12='Policy card'!$C$3),1,0)</f>
        <v>0</v>
      </c>
      <c r="M14" s="0" t="str">
        <f aca="false">IF(L14=1,N14,"")</f>
        <v/>
      </c>
      <c r="N14" s="0" t="n">
        <f aca="false">N13+L14</f>
        <v>2</v>
      </c>
      <c r="P14" s="0" t="n">
        <f aca="false">IF(AND(Comments!B12='Policy card'!$C$3,Comments!N12="Closed"),1,0)</f>
        <v>1</v>
      </c>
      <c r="Q14" s="0" t="n">
        <f aca="false">Q13+P14</f>
        <v>4</v>
      </c>
    </row>
    <row r="15" customFormat="false" ht="15" hidden="false" customHeight="false" outlineLevel="0" collapsed="false">
      <c r="A15" s="0" t="str">
        <f aca="false">IF(OR(Drafts!A13="",Drafts!E13="Withdrawn",AND(Drafts!E13="Adopted",OR(Drafts!N13="Complete",Drafts!N13="Not needed"))),"",IFERROR(MATCH(Drafts!E13,StageList,0),99)*1000+13)</f>
        <v/>
      </c>
      <c r="C15" s="0" t="n">
        <f aca="false">IF(AND(Comments!B13='Policy card'!$C$3,Comments!N13="Open"),1,0)</f>
        <v>0</v>
      </c>
      <c r="D15" s="0" t="n">
        <f aca="false">IF(C15=1,E15,IF(P15=1,$E$2003+Q15,""))</f>
        <v>5</v>
      </c>
      <c r="E15" s="0" t="n">
        <f aca="false">E14+C15</f>
        <v>0</v>
      </c>
      <c r="F15" s="0" t="n">
        <f aca="false">IF(AND('Deferred edits'!C13&lt;&gt;"",OR('Deferred edits'!C13='Policy card'!$C$3,'Deferred edits'!B13='Policy card'!$C$3)),1,0)</f>
        <v>0</v>
      </c>
      <c r="G15" s="0" t="str">
        <f aca="false">IF(F15=1,H15,"")</f>
        <v/>
      </c>
      <c r="H15" s="0" t="n">
        <f aca="false">H14+F15</f>
        <v>1</v>
      </c>
      <c r="I15" s="0" t="n">
        <f aca="false">IF('Deferred edits'!G13="Waiting",1,0)</f>
        <v>0</v>
      </c>
      <c r="J15" s="0" t="str">
        <f aca="false">IF(I15=1,K15,"")</f>
        <v/>
      </c>
      <c r="K15" s="0" t="n">
        <f aca="false">K14+I15</f>
        <v>5</v>
      </c>
      <c r="L15" s="0" t="n">
        <f aca="false">IF(AND(Versions!B13&lt;&gt;"",Versions!B13='Policy card'!$C$3),1,0)</f>
        <v>0</v>
      </c>
      <c r="M15" s="0" t="str">
        <f aca="false">IF(L15=1,N15,"")</f>
        <v/>
      </c>
      <c r="N15" s="0" t="n">
        <f aca="false">N14+L15</f>
        <v>2</v>
      </c>
      <c r="P15" s="0" t="n">
        <f aca="false">IF(AND(Comments!B13='Policy card'!$C$3,Comments!N13="Closed"),1,0)</f>
        <v>1</v>
      </c>
      <c r="Q15" s="0" t="n">
        <f aca="false">Q14+P15</f>
        <v>5</v>
      </c>
    </row>
    <row r="16" customFormat="false" ht="15" hidden="false" customHeight="false" outlineLevel="0" collapsed="false">
      <c r="A16" s="0" t="str">
        <f aca="false">IF(OR(Drafts!A14="",Drafts!E14="Withdrawn",AND(Drafts!E14="Adopted",OR(Drafts!N14="Complete",Drafts!N14="Not needed"))),"",IFERROR(MATCH(Drafts!E14,StageList,0),99)*1000+14)</f>
        <v/>
      </c>
      <c r="C16" s="0" t="n">
        <f aca="false">IF(AND(Comments!B14='Policy card'!$C$3,Comments!N14="Open"),1,0)</f>
        <v>0</v>
      </c>
      <c r="D16" s="0" t="n">
        <f aca="false">IF(C16=1,E16,IF(P16=1,$E$2003+Q16,""))</f>
        <v>6</v>
      </c>
      <c r="E16" s="0" t="n">
        <f aca="false">E15+C16</f>
        <v>0</v>
      </c>
      <c r="F16" s="0" t="n">
        <f aca="false">IF(AND('Deferred edits'!C14&lt;&gt;"",OR('Deferred edits'!C14='Policy card'!$C$3,'Deferred edits'!B14='Policy card'!$C$3)),1,0)</f>
        <v>0</v>
      </c>
      <c r="G16" s="0" t="str">
        <f aca="false">IF(F16=1,H16,"")</f>
        <v/>
      </c>
      <c r="H16" s="0" t="n">
        <f aca="false">H15+F16</f>
        <v>1</v>
      </c>
      <c r="I16" s="0" t="n">
        <f aca="false">IF('Deferred edits'!G14="Waiting",1,0)</f>
        <v>0</v>
      </c>
      <c r="J16" s="0" t="str">
        <f aca="false">IF(I16=1,K16,"")</f>
        <v/>
      </c>
      <c r="K16" s="0" t="n">
        <f aca="false">K15+I16</f>
        <v>5</v>
      </c>
      <c r="L16" s="0" t="n">
        <f aca="false">IF(AND(Versions!B14&lt;&gt;"",Versions!B14='Policy card'!$C$3),1,0)</f>
        <v>0</v>
      </c>
      <c r="M16" s="0" t="str">
        <f aca="false">IF(L16=1,N16,"")</f>
        <v/>
      </c>
      <c r="N16" s="0" t="n">
        <f aca="false">N15+L16</f>
        <v>2</v>
      </c>
      <c r="P16" s="0" t="n">
        <f aca="false">IF(AND(Comments!B14='Policy card'!$C$3,Comments!N14="Closed"),1,0)</f>
        <v>1</v>
      </c>
      <c r="Q16" s="0" t="n">
        <f aca="false">Q15+P16</f>
        <v>6</v>
      </c>
    </row>
    <row r="17" customFormat="false" ht="15" hidden="false" customHeight="false" outlineLevel="0" collapsed="false">
      <c r="A17" s="0" t="str">
        <f aca="false">IF(OR(Drafts!A15="",Drafts!E15="Withdrawn",AND(Drafts!E15="Adopted",OR(Drafts!N15="Complete",Drafts!N15="Not needed"))),"",IFERROR(MATCH(Drafts!E15,StageList,0),99)*1000+15)</f>
        <v/>
      </c>
      <c r="C17" s="0" t="n">
        <f aca="false">IF(AND(Comments!B15='Policy card'!$C$3,Comments!N15="Open"),1,0)</f>
        <v>0</v>
      </c>
      <c r="D17" s="0" t="n">
        <f aca="false">IF(C17=1,E17,IF(P17=1,$E$2003+Q17,""))</f>
        <v>7</v>
      </c>
      <c r="E17" s="0" t="n">
        <f aca="false">E16+C17</f>
        <v>0</v>
      </c>
      <c r="F17" s="0" t="n">
        <f aca="false">IF(AND('Deferred edits'!C15&lt;&gt;"",OR('Deferred edits'!C15='Policy card'!$C$3,'Deferred edits'!B15='Policy card'!$C$3)),1,0)</f>
        <v>0</v>
      </c>
      <c r="G17" s="0" t="str">
        <f aca="false">IF(F17=1,H17,"")</f>
        <v/>
      </c>
      <c r="H17" s="0" t="n">
        <f aca="false">H16+F17</f>
        <v>1</v>
      </c>
      <c r="I17" s="0" t="n">
        <f aca="false">IF('Deferred edits'!G15="Waiting",1,0)</f>
        <v>0</v>
      </c>
      <c r="J17" s="0" t="str">
        <f aca="false">IF(I17=1,K17,"")</f>
        <v/>
      </c>
      <c r="K17" s="0" t="n">
        <f aca="false">K16+I17</f>
        <v>5</v>
      </c>
      <c r="L17" s="0" t="n">
        <f aca="false">IF(AND(Versions!B15&lt;&gt;"",Versions!B15='Policy card'!$C$3),1,0)</f>
        <v>0</v>
      </c>
      <c r="M17" s="0" t="str">
        <f aca="false">IF(L17=1,N17,"")</f>
        <v/>
      </c>
      <c r="N17" s="0" t="n">
        <f aca="false">N16+L17</f>
        <v>2</v>
      </c>
      <c r="P17" s="0" t="n">
        <f aca="false">IF(AND(Comments!B15='Policy card'!$C$3,Comments!N15="Closed"),1,0)</f>
        <v>1</v>
      </c>
      <c r="Q17" s="0" t="n">
        <f aca="false">Q16+P17</f>
        <v>7</v>
      </c>
    </row>
    <row r="18" customFormat="false" ht="15" hidden="false" customHeight="false" outlineLevel="0" collapsed="false">
      <c r="A18" s="0" t="str">
        <f aca="false">IF(OR(Drafts!A16="",Drafts!E16="Withdrawn",AND(Drafts!E16="Adopted",OR(Drafts!N16="Complete",Drafts!N16="Not needed"))),"",IFERROR(MATCH(Drafts!E16,StageList,0),99)*1000+16)</f>
        <v/>
      </c>
      <c r="C18" s="0" t="n">
        <f aca="false">IF(AND(Comments!B16='Policy card'!$C$3,Comments!N16="Open"),1,0)</f>
        <v>0</v>
      </c>
      <c r="D18" s="0" t="str">
        <f aca="false">IF(C18=1,E18,IF(P18=1,$E$2003+Q18,""))</f>
        <v/>
      </c>
      <c r="E18" s="0" t="n">
        <f aca="false">E17+C18</f>
        <v>0</v>
      </c>
      <c r="F18" s="0" t="n">
        <f aca="false">IF(AND('Deferred edits'!C16&lt;&gt;"",OR('Deferred edits'!C16='Policy card'!$C$3,'Deferred edits'!B16='Policy card'!$C$3)),1,0)</f>
        <v>0</v>
      </c>
      <c r="G18" s="0" t="str">
        <f aca="false">IF(F18=1,H18,"")</f>
        <v/>
      </c>
      <c r="H18" s="0" t="n">
        <f aca="false">H17+F18</f>
        <v>1</v>
      </c>
      <c r="I18" s="0" t="n">
        <f aca="false">IF('Deferred edits'!G16="Waiting",1,0)</f>
        <v>0</v>
      </c>
      <c r="J18" s="0" t="str">
        <f aca="false">IF(I18=1,K18,"")</f>
        <v/>
      </c>
      <c r="K18" s="0" t="n">
        <f aca="false">K17+I18</f>
        <v>5</v>
      </c>
      <c r="L18" s="0" t="n">
        <f aca="false">IF(AND(Versions!B16&lt;&gt;"",Versions!B16='Policy card'!$C$3),1,0)</f>
        <v>0</v>
      </c>
      <c r="M18" s="0" t="str">
        <f aca="false">IF(L18=1,N18,"")</f>
        <v/>
      </c>
      <c r="N18" s="0" t="n">
        <f aca="false">N17+L18</f>
        <v>2</v>
      </c>
      <c r="P18" s="0" t="n">
        <f aca="false">IF(AND(Comments!B16='Policy card'!$C$3,Comments!N16="Closed"),1,0)</f>
        <v>0</v>
      </c>
      <c r="Q18" s="0" t="n">
        <f aca="false">Q17+P18</f>
        <v>7</v>
      </c>
    </row>
    <row r="19" customFormat="false" ht="15" hidden="false" customHeight="false" outlineLevel="0" collapsed="false">
      <c r="A19" s="0" t="str">
        <f aca="false">IF(OR(Drafts!A17="",Drafts!E17="Withdrawn",AND(Drafts!E17="Adopted",OR(Drafts!N17="Complete",Drafts!N17="Not needed"))),"",IFERROR(MATCH(Drafts!E17,StageList,0),99)*1000+17)</f>
        <v/>
      </c>
      <c r="C19" s="0" t="n">
        <f aca="false">IF(AND(Comments!B17='Policy card'!$C$3,Comments!N17="Open"),1,0)</f>
        <v>0</v>
      </c>
      <c r="D19" s="0" t="str">
        <f aca="false">IF(C19=1,E19,IF(P19=1,$E$2003+Q19,""))</f>
        <v/>
      </c>
      <c r="E19" s="0" t="n">
        <f aca="false">E18+C19</f>
        <v>0</v>
      </c>
      <c r="F19" s="0" t="n">
        <f aca="false">IF(AND('Deferred edits'!C17&lt;&gt;"",OR('Deferred edits'!C17='Policy card'!$C$3,'Deferred edits'!B17='Policy card'!$C$3)),1,0)</f>
        <v>0</v>
      </c>
      <c r="G19" s="0" t="str">
        <f aca="false">IF(F19=1,H19,"")</f>
        <v/>
      </c>
      <c r="H19" s="0" t="n">
        <f aca="false">H18+F19</f>
        <v>1</v>
      </c>
      <c r="I19" s="0" t="n">
        <f aca="false">IF('Deferred edits'!G17="Waiting",1,0)</f>
        <v>0</v>
      </c>
      <c r="J19" s="0" t="str">
        <f aca="false">IF(I19=1,K19,"")</f>
        <v/>
      </c>
      <c r="K19" s="0" t="n">
        <f aca="false">K18+I19</f>
        <v>5</v>
      </c>
      <c r="L19" s="0" t="n">
        <f aca="false">IF(AND(Versions!B17&lt;&gt;"",Versions!B17='Policy card'!$C$3),1,0)</f>
        <v>0</v>
      </c>
      <c r="M19" s="0" t="str">
        <f aca="false">IF(L19=1,N19,"")</f>
        <v/>
      </c>
      <c r="N19" s="0" t="n">
        <f aca="false">N18+L19</f>
        <v>2</v>
      </c>
      <c r="P19" s="0" t="n">
        <f aca="false">IF(AND(Comments!B17='Policy card'!$C$3,Comments!N17="Closed"),1,0)</f>
        <v>0</v>
      </c>
      <c r="Q19" s="0" t="n">
        <f aca="false">Q18+P19</f>
        <v>7</v>
      </c>
    </row>
    <row r="20" customFormat="false" ht="15" hidden="false" customHeight="false" outlineLevel="0" collapsed="false">
      <c r="A20" s="0" t="str">
        <f aca="false">IF(OR(Drafts!A18="",Drafts!E18="Withdrawn",AND(Drafts!E18="Adopted",OR(Drafts!N18="Complete",Drafts!N18="Not needed"))),"",IFERROR(MATCH(Drafts!E18,StageList,0),99)*1000+18)</f>
        <v/>
      </c>
      <c r="C20" s="0" t="n">
        <f aca="false">IF(AND(Comments!B18='Policy card'!$C$3,Comments!N18="Open"),1,0)</f>
        <v>0</v>
      </c>
      <c r="D20" s="0" t="str">
        <f aca="false">IF(C20=1,E20,IF(P20=1,$E$2003+Q20,""))</f>
        <v/>
      </c>
      <c r="E20" s="0" t="n">
        <f aca="false">E19+C20</f>
        <v>0</v>
      </c>
      <c r="F20" s="0" t="n">
        <f aca="false">IF(AND('Deferred edits'!C18&lt;&gt;"",OR('Deferred edits'!C18='Policy card'!$C$3,'Deferred edits'!B18='Policy card'!$C$3)),1,0)</f>
        <v>0</v>
      </c>
      <c r="G20" s="0" t="str">
        <f aca="false">IF(F20=1,H20,"")</f>
        <v/>
      </c>
      <c r="H20" s="0" t="n">
        <f aca="false">H19+F20</f>
        <v>1</v>
      </c>
      <c r="I20" s="0" t="n">
        <f aca="false">IF('Deferred edits'!G18="Waiting",1,0)</f>
        <v>0</v>
      </c>
      <c r="J20" s="0" t="str">
        <f aca="false">IF(I20=1,K20,"")</f>
        <v/>
      </c>
      <c r="K20" s="0" t="n">
        <f aca="false">K19+I20</f>
        <v>5</v>
      </c>
      <c r="L20" s="0" t="n">
        <f aca="false">IF(AND(Versions!B18&lt;&gt;"",Versions!B18='Policy card'!$C$3),1,0)</f>
        <v>0</v>
      </c>
      <c r="M20" s="0" t="str">
        <f aca="false">IF(L20=1,N20,"")</f>
        <v/>
      </c>
      <c r="N20" s="0" t="n">
        <f aca="false">N19+L20</f>
        <v>2</v>
      </c>
      <c r="P20" s="0" t="n">
        <f aca="false">IF(AND(Comments!B18='Policy card'!$C$3,Comments!N18="Closed"),1,0)</f>
        <v>0</v>
      </c>
      <c r="Q20" s="0" t="n">
        <f aca="false">Q19+P20</f>
        <v>7</v>
      </c>
    </row>
    <row r="21" customFormat="false" ht="15" hidden="false" customHeight="false" outlineLevel="0" collapsed="false">
      <c r="A21" s="0" t="str">
        <f aca="false">IF(OR(Drafts!A19="",Drafts!E19="Withdrawn",AND(Drafts!E19="Adopted",OR(Drafts!N19="Complete",Drafts!N19="Not needed"))),"",IFERROR(MATCH(Drafts!E19,StageList,0),99)*1000+19)</f>
        <v/>
      </c>
      <c r="C21" s="0" t="n">
        <f aca="false">IF(AND(Comments!B19='Policy card'!$C$3,Comments!N19="Open"),1,0)</f>
        <v>0</v>
      </c>
      <c r="D21" s="0" t="str">
        <f aca="false">IF(C21=1,E21,IF(P21=1,$E$2003+Q21,""))</f>
        <v/>
      </c>
      <c r="E21" s="0" t="n">
        <f aca="false">E20+C21</f>
        <v>0</v>
      </c>
      <c r="F21" s="0" t="n">
        <f aca="false">IF(AND('Deferred edits'!C19&lt;&gt;"",OR('Deferred edits'!C19='Policy card'!$C$3,'Deferred edits'!B19='Policy card'!$C$3)),1,0)</f>
        <v>0</v>
      </c>
      <c r="G21" s="0" t="str">
        <f aca="false">IF(F21=1,H21,"")</f>
        <v/>
      </c>
      <c r="H21" s="0" t="n">
        <f aca="false">H20+F21</f>
        <v>1</v>
      </c>
      <c r="I21" s="0" t="n">
        <f aca="false">IF('Deferred edits'!G19="Waiting",1,0)</f>
        <v>0</v>
      </c>
      <c r="J21" s="0" t="str">
        <f aca="false">IF(I21=1,K21,"")</f>
        <v/>
      </c>
      <c r="K21" s="0" t="n">
        <f aca="false">K20+I21</f>
        <v>5</v>
      </c>
      <c r="L21" s="0" t="n">
        <f aca="false">IF(AND(Versions!B19&lt;&gt;"",Versions!B19='Policy card'!$C$3),1,0)</f>
        <v>0</v>
      </c>
      <c r="M21" s="0" t="str">
        <f aca="false">IF(L21=1,N21,"")</f>
        <v/>
      </c>
      <c r="N21" s="0" t="n">
        <f aca="false">N20+L21</f>
        <v>2</v>
      </c>
      <c r="P21" s="0" t="n">
        <f aca="false">IF(AND(Comments!B19='Policy card'!$C$3,Comments!N19="Closed"),1,0)</f>
        <v>0</v>
      </c>
      <c r="Q21" s="0" t="n">
        <f aca="false">Q20+P21</f>
        <v>7</v>
      </c>
    </row>
    <row r="22" customFormat="false" ht="15" hidden="false" customHeight="false" outlineLevel="0" collapsed="false">
      <c r="A22" s="0" t="str">
        <f aca="false">IF(OR(Drafts!A20="",Drafts!E20="Withdrawn",AND(Drafts!E20="Adopted",OR(Drafts!N20="Complete",Drafts!N20="Not needed"))),"",IFERROR(MATCH(Drafts!E20,StageList,0),99)*1000+20)</f>
        <v/>
      </c>
      <c r="C22" s="0" t="n">
        <f aca="false">IF(AND(Comments!B20='Policy card'!$C$3,Comments!N20="Open"),1,0)</f>
        <v>0</v>
      </c>
      <c r="D22" s="0" t="str">
        <f aca="false">IF(C22=1,E22,IF(P22=1,$E$2003+Q22,""))</f>
        <v/>
      </c>
      <c r="E22" s="0" t="n">
        <f aca="false">E21+C22</f>
        <v>0</v>
      </c>
      <c r="F22" s="0" t="n">
        <f aca="false">IF(AND('Deferred edits'!C20&lt;&gt;"",OR('Deferred edits'!C20='Policy card'!$C$3,'Deferred edits'!B20='Policy card'!$C$3)),1,0)</f>
        <v>0</v>
      </c>
      <c r="G22" s="0" t="str">
        <f aca="false">IF(F22=1,H22,"")</f>
        <v/>
      </c>
      <c r="H22" s="0" t="n">
        <f aca="false">H21+F22</f>
        <v>1</v>
      </c>
      <c r="I22" s="0" t="n">
        <f aca="false">IF('Deferred edits'!G20="Waiting",1,0)</f>
        <v>0</v>
      </c>
      <c r="J22" s="0" t="str">
        <f aca="false">IF(I22=1,K22,"")</f>
        <v/>
      </c>
      <c r="K22" s="0" t="n">
        <f aca="false">K21+I22</f>
        <v>5</v>
      </c>
      <c r="L22" s="0" t="n">
        <f aca="false">IF(AND(Versions!B20&lt;&gt;"",Versions!B20='Policy card'!$C$3),1,0)</f>
        <v>0</v>
      </c>
      <c r="M22" s="0" t="str">
        <f aca="false">IF(L22=1,N22,"")</f>
        <v/>
      </c>
      <c r="N22" s="0" t="n">
        <f aca="false">N21+L22</f>
        <v>2</v>
      </c>
      <c r="P22" s="0" t="n">
        <f aca="false">IF(AND(Comments!B20='Policy card'!$C$3,Comments!N20="Closed"),1,0)</f>
        <v>0</v>
      </c>
      <c r="Q22" s="0" t="n">
        <f aca="false">Q21+P22</f>
        <v>7</v>
      </c>
    </row>
    <row r="23" customFormat="false" ht="15" hidden="false" customHeight="false" outlineLevel="0" collapsed="false">
      <c r="A23" s="0" t="str">
        <f aca="false">IF(OR(Drafts!A21="",Drafts!E21="Withdrawn",AND(Drafts!E21="Adopted",OR(Drafts!N21="Complete",Drafts!N21="Not needed"))),"",IFERROR(MATCH(Drafts!E21,StageList,0),99)*1000+21)</f>
        <v/>
      </c>
      <c r="C23" s="0" t="n">
        <f aca="false">IF(AND(Comments!B21='Policy card'!$C$3,Comments!N21="Open"),1,0)</f>
        <v>0</v>
      </c>
      <c r="D23" s="0" t="str">
        <f aca="false">IF(C23=1,E23,IF(P23=1,$E$2003+Q23,""))</f>
        <v/>
      </c>
      <c r="E23" s="0" t="n">
        <f aca="false">E22+C23</f>
        <v>0</v>
      </c>
      <c r="F23" s="0" t="n">
        <f aca="false">IF(AND('Deferred edits'!C21&lt;&gt;"",OR('Deferred edits'!C21='Policy card'!$C$3,'Deferred edits'!B21='Policy card'!$C$3)),1,0)</f>
        <v>0</v>
      </c>
      <c r="G23" s="0" t="str">
        <f aca="false">IF(F23=1,H23,"")</f>
        <v/>
      </c>
      <c r="H23" s="0" t="n">
        <f aca="false">H22+F23</f>
        <v>1</v>
      </c>
      <c r="I23" s="0" t="n">
        <f aca="false">IF('Deferred edits'!G21="Waiting",1,0)</f>
        <v>0</v>
      </c>
      <c r="J23" s="0" t="str">
        <f aca="false">IF(I23=1,K23,"")</f>
        <v/>
      </c>
      <c r="K23" s="0" t="n">
        <f aca="false">K22+I23</f>
        <v>5</v>
      </c>
      <c r="L23" s="0" t="n">
        <f aca="false">IF(AND(Versions!B21&lt;&gt;"",Versions!B21='Policy card'!$C$3),1,0)</f>
        <v>0</v>
      </c>
      <c r="M23" s="0" t="str">
        <f aca="false">IF(L23=1,N23,"")</f>
        <v/>
      </c>
      <c r="N23" s="0" t="n">
        <f aca="false">N22+L23</f>
        <v>2</v>
      </c>
      <c r="P23" s="0" t="n">
        <f aca="false">IF(AND(Comments!B21='Policy card'!$C$3,Comments!N21="Closed"),1,0)</f>
        <v>0</v>
      </c>
      <c r="Q23" s="0" t="n">
        <f aca="false">Q22+P23</f>
        <v>7</v>
      </c>
    </row>
    <row r="24" customFormat="false" ht="15" hidden="false" customHeight="false" outlineLevel="0" collapsed="false">
      <c r="A24" s="0" t="str">
        <f aca="false">IF(OR(Drafts!A22="",Drafts!E22="Withdrawn",AND(Drafts!E22="Adopted",OR(Drafts!N22="Complete",Drafts!N22="Not needed"))),"",IFERROR(MATCH(Drafts!E22,StageList,0),99)*1000+22)</f>
        <v/>
      </c>
      <c r="C24" s="0" t="n">
        <f aca="false">IF(AND(Comments!B22='Policy card'!$C$3,Comments!N22="Open"),1,0)</f>
        <v>0</v>
      </c>
      <c r="D24" s="0" t="str">
        <f aca="false">IF(C24=1,E24,IF(P24=1,$E$2003+Q24,""))</f>
        <v/>
      </c>
      <c r="E24" s="0" t="n">
        <f aca="false">E23+C24</f>
        <v>0</v>
      </c>
      <c r="F24" s="0" t="n">
        <f aca="false">IF(AND('Deferred edits'!C22&lt;&gt;"",OR('Deferred edits'!C22='Policy card'!$C$3,'Deferred edits'!B22='Policy card'!$C$3)),1,0)</f>
        <v>0</v>
      </c>
      <c r="G24" s="0" t="str">
        <f aca="false">IF(F24=1,H24,"")</f>
        <v/>
      </c>
      <c r="H24" s="0" t="n">
        <f aca="false">H23+F24</f>
        <v>1</v>
      </c>
      <c r="I24" s="0" t="n">
        <f aca="false">IF('Deferred edits'!G22="Waiting",1,0)</f>
        <v>0</v>
      </c>
      <c r="J24" s="0" t="str">
        <f aca="false">IF(I24=1,K24,"")</f>
        <v/>
      </c>
      <c r="K24" s="0" t="n">
        <f aca="false">K23+I24</f>
        <v>5</v>
      </c>
      <c r="L24" s="0" t="n">
        <f aca="false">IF(AND(Versions!B22&lt;&gt;"",Versions!B22='Policy card'!$C$3),1,0)</f>
        <v>0</v>
      </c>
      <c r="M24" s="0" t="str">
        <f aca="false">IF(L24=1,N24,"")</f>
        <v/>
      </c>
      <c r="N24" s="0" t="n">
        <f aca="false">N23+L24</f>
        <v>2</v>
      </c>
      <c r="P24" s="0" t="n">
        <f aca="false">IF(AND(Comments!B22='Policy card'!$C$3,Comments!N22="Closed"),1,0)</f>
        <v>0</v>
      </c>
      <c r="Q24" s="0" t="n">
        <f aca="false">Q23+P24</f>
        <v>7</v>
      </c>
    </row>
    <row r="25" customFormat="false" ht="15" hidden="false" customHeight="false" outlineLevel="0" collapsed="false">
      <c r="A25" s="0" t="str">
        <f aca="false">IF(OR(Drafts!A23="",Drafts!E23="Withdrawn",AND(Drafts!E23="Adopted",OR(Drafts!N23="Complete",Drafts!N23="Not needed"))),"",IFERROR(MATCH(Drafts!E23,StageList,0),99)*1000+23)</f>
        <v/>
      </c>
      <c r="C25" s="0" t="n">
        <f aca="false">IF(AND(Comments!B23='Policy card'!$C$3,Comments!N23="Open"),1,0)</f>
        <v>0</v>
      </c>
      <c r="D25" s="0" t="str">
        <f aca="false">IF(C25=1,E25,IF(P25=1,$E$2003+Q25,""))</f>
        <v/>
      </c>
      <c r="E25" s="0" t="n">
        <f aca="false">E24+C25</f>
        <v>0</v>
      </c>
      <c r="F25" s="0" t="n">
        <f aca="false">IF(AND('Deferred edits'!C23&lt;&gt;"",OR('Deferred edits'!C23='Policy card'!$C$3,'Deferred edits'!B23='Policy card'!$C$3)),1,0)</f>
        <v>0</v>
      </c>
      <c r="G25" s="0" t="str">
        <f aca="false">IF(F25=1,H25,"")</f>
        <v/>
      </c>
      <c r="H25" s="0" t="n">
        <f aca="false">H24+F25</f>
        <v>1</v>
      </c>
      <c r="I25" s="0" t="n">
        <f aca="false">IF('Deferred edits'!G23="Waiting",1,0)</f>
        <v>0</v>
      </c>
      <c r="J25" s="0" t="str">
        <f aca="false">IF(I25=1,K25,"")</f>
        <v/>
      </c>
      <c r="K25" s="0" t="n">
        <f aca="false">K24+I25</f>
        <v>5</v>
      </c>
      <c r="L25" s="0" t="n">
        <f aca="false">IF(AND(Versions!B23&lt;&gt;"",Versions!B23='Policy card'!$C$3),1,0)</f>
        <v>0</v>
      </c>
      <c r="M25" s="0" t="str">
        <f aca="false">IF(L25=1,N25,"")</f>
        <v/>
      </c>
      <c r="N25" s="0" t="n">
        <f aca="false">N24+L25</f>
        <v>2</v>
      </c>
      <c r="P25" s="0" t="n">
        <f aca="false">IF(AND(Comments!B23='Policy card'!$C$3,Comments!N23="Closed"),1,0)</f>
        <v>0</v>
      </c>
      <c r="Q25" s="0" t="n">
        <f aca="false">Q24+P25</f>
        <v>7</v>
      </c>
    </row>
    <row r="26" customFormat="false" ht="15" hidden="false" customHeight="false" outlineLevel="0" collapsed="false">
      <c r="A26" s="0" t="str">
        <f aca="false">IF(OR(Drafts!A24="",Drafts!E24="Withdrawn",AND(Drafts!E24="Adopted",OR(Drafts!N24="Complete",Drafts!N24="Not needed"))),"",IFERROR(MATCH(Drafts!E24,StageList,0),99)*1000+24)</f>
        <v/>
      </c>
      <c r="C26" s="0" t="n">
        <f aca="false">IF(AND(Comments!B24='Policy card'!$C$3,Comments!N24="Open"),1,0)</f>
        <v>0</v>
      </c>
      <c r="D26" s="0" t="str">
        <f aca="false">IF(C26=1,E26,IF(P26=1,$E$2003+Q26,""))</f>
        <v/>
      </c>
      <c r="E26" s="0" t="n">
        <f aca="false">E25+C26</f>
        <v>0</v>
      </c>
      <c r="F26" s="0" t="n">
        <f aca="false">IF(AND('Deferred edits'!C24&lt;&gt;"",OR('Deferred edits'!C24='Policy card'!$C$3,'Deferred edits'!B24='Policy card'!$C$3)),1,0)</f>
        <v>0</v>
      </c>
      <c r="G26" s="0" t="str">
        <f aca="false">IF(F26=1,H26,"")</f>
        <v/>
      </c>
      <c r="H26" s="0" t="n">
        <f aca="false">H25+F26</f>
        <v>1</v>
      </c>
      <c r="I26" s="0" t="n">
        <f aca="false">IF('Deferred edits'!G24="Waiting",1,0)</f>
        <v>0</v>
      </c>
      <c r="J26" s="0" t="str">
        <f aca="false">IF(I26=1,K26,"")</f>
        <v/>
      </c>
      <c r="K26" s="0" t="n">
        <f aca="false">K25+I26</f>
        <v>5</v>
      </c>
      <c r="L26" s="0" t="n">
        <f aca="false">IF(AND(Versions!B24&lt;&gt;"",Versions!B24='Policy card'!$C$3),1,0)</f>
        <v>0</v>
      </c>
      <c r="M26" s="0" t="str">
        <f aca="false">IF(L26=1,N26,"")</f>
        <v/>
      </c>
      <c r="N26" s="0" t="n">
        <f aca="false">N25+L26</f>
        <v>2</v>
      </c>
      <c r="P26" s="0" t="n">
        <f aca="false">IF(AND(Comments!B24='Policy card'!$C$3,Comments!N24="Closed"),1,0)</f>
        <v>0</v>
      </c>
      <c r="Q26" s="0" t="n">
        <f aca="false">Q25+P26</f>
        <v>7</v>
      </c>
    </row>
    <row r="27" customFormat="false" ht="15" hidden="false" customHeight="false" outlineLevel="0" collapsed="false">
      <c r="A27" s="0" t="str">
        <f aca="false">IF(OR(Drafts!A25="",Drafts!E25="Withdrawn",AND(Drafts!E25="Adopted",OR(Drafts!N25="Complete",Drafts!N25="Not needed"))),"",IFERROR(MATCH(Drafts!E25,StageList,0),99)*1000+25)</f>
        <v/>
      </c>
      <c r="C27" s="0" t="n">
        <f aca="false">IF(AND(Comments!B25='Policy card'!$C$3,Comments!N25="Open"),1,0)</f>
        <v>0</v>
      </c>
      <c r="D27" s="0" t="str">
        <f aca="false">IF(C27=1,E27,IF(P27=1,$E$2003+Q27,""))</f>
        <v/>
      </c>
      <c r="E27" s="0" t="n">
        <f aca="false">E26+C27</f>
        <v>0</v>
      </c>
      <c r="F27" s="0" t="n">
        <f aca="false">IF(AND('Deferred edits'!C25&lt;&gt;"",OR('Deferred edits'!C25='Policy card'!$C$3,'Deferred edits'!B25='Policy card'!$C$3)),1,0)</f>
        <v>0</v>
      </c>
      <c r="G27" s="0" t="str">
        <f aca="false">IF(F27=1,H27,"")</f>
        <v/>
      </c>
      <c r="H27" s="0" t="n">
        <f aca="false">H26+F27</f>
        <v>1</v>
      </c>
      <c r="I27" s="0" t="n">
        <f aca="false">IF('Deferred edits'!G25="Waiting",1,0)</f>
        <v>0</v>
      </c>
      <c r="J27" s="0" t="str">
        <f aca="false">IF(I27=1,K27,"")</f>
        <v/>
      </c>
      <c r="K27" s="0" t="n">
        <f aca="false">K26+I27</f>
        <v>5</v>
      </c>
      <c r="L27" s="0" t="n">
        <f aca="false">IF(AND(Versions!B25&lt;&gt;"",Versions!B25='Policy card'!$C$3),1,0)</f>
        <v>0</v>
      </c>
      <c r="M27" s="0" t="str">
        <f aca="false">IF(L27=1,N27,"")</f>
        <v/>
      </c>
      <c r="N27" s="0" t="n">
        <f aca="false">N26+L27</f>
        <v>2</v>
      </c>
      <c r="P27" s="0" t="n">
        <f aca="false">IF(AND(Comments!B25='Policy card'!$C$3,Comments!N25="Closed"),1,0)</f>
        <v>0</v>
      </c>
      <c r="Q27" s="0" t="n">
        <f aca="false">Q26+P27</f>
        <v>7</v>
      </c>
    </row>
    <row r="28" customFormat="false" ht="15" hidden="false" customHeight="false" outlineLevel="0" collapsed="false">
      <c r="A28" s="0" t="str">
        <f aca="false">IF(OR(Drafts!A26="",Drafts!E26="Withdrawn",AND(Drafts!E26="Adopted",OR(Drafts!N26="Complete",Drafts!N26="Not needed"))),"",IFERROR(MATCH(Drafts!E26,StageList,0),99)*1000+26)</f>
        <v/>
      </c>
      <c r="C28" s="0" t="n">
        <f aca="false">IF(AND(Comments!B26='Policy card'!$C$3,Comments!N26="Open"),1,0)</f>
        <v>0</v>
      </c>
      <c r="D28" s="0" t="str">
        <f aca="false">IF(C28=1,E28,IF(P28=1,$E$2003+Q28,""))</f>
        <v/>
      </c>
      <c r="E28" s="0" t="n">
        <f aca="false">E27+C28</f>
        <v>0</v>
      </c>
      <c r="F28" s="0" t="n">
        <f aca="false">IF(AND('Deferred edits'!C26&lt;&gt;"",OR('Deferred edits'!C26='Policy card'!$C$3,'Deferred edits'!B26='Policy card'!$C$3)),1,0)</f>
        <v>0</v>
      </c>
      <c r="G28" s="0" t="str">
        <f aca="false">IF(F28=1,H28,"")</f>
        <v/>
      </c>
      <c r="H28" s="0" t="n">
        <f aca="false">H27+F28</f>
        <v>1</v>
      </c>
      <c r="I28" s="0" t="n">
        <f aca="false">IF('Deferred edits'!G26="Waiting",1,0)</f>
        <v>0</v>
      </c>
      <c r="J28" s="0" t="str">
        <f aca="false">IF(I28=1,K28,"")</f>
        <v/>
      </c>
      <c r="K28" s="0" t="n">
        <f aca="false">K27+I28</f>
        <v>5</v>
      </c>
      <c r="L28" s="0" t="n">
        <f aca="false">IF(AND(Versions!B26&lt;&gt;"",Versions!B26='Policy card'!$C$3),1,0)</f>
        <v>0</v>
      </c>
      <c r="M28" s="0" t="str">
        <f aca="false">IF(L28=1,N28,"")</f>
        <v/>
      </c>
      <c r="N28" s="0" t="n">
        <f aca="false">N27+L28</f>
        <v>2</v>
      </c>
      <c r="P28" s="0" t="n">
        <f aca="false">IF(AND(Comments!B26='Policy card'!$C$3,Comments!N26="Closed"),1,0)</f>
        <v>0</v>
      </c>
      <c r="Q28" s="0" t="n">
        <f aca="false">Q27+P28</f>
        <v>7</v>
      </c>
    </row>
    <row r="29" customFormat="false" ht="15" hidden="false" customHeight="false" outlineLevel="0" collapsed="false">
      <c r="A29" s="0" t="str">
        <f aca="false">IF(OR(Drafts!A27="",Drafts!E27="Withdrawn",AND(Drafts!E27="Adopted",OR(Drafts!N27="Complete",Drafts!N27="Not needed"))),"",IFERROR(MATCH(Drafts!E27,StageList,0),99)*1000+27)</f>
        <v/>
      </c>
      <c r="C29" s="0" t="n">
        <f aca="false">IF(AND(Comments!B27='Policy card'!$C$3,Comments!N27="Open"),1,0)</f>
        <v>0</v>
      </c>
      <c r="D29" s="0" t="str">
        <f aca="false">IF(C29=1,E29,IF(P29=1,$E$2003+Q29,""))</f>
        <v/>
      </c>
      <c r="E29" s="0" t="n">
        <f aca="false">E28+C29</f>
        <v>0</v>
      </c>
      <c r="F29" s="0" t="n">
        <f aca="false">IF(AND('Deferred edits'!C27&lt;&gt;"",OR('Deferred edits'!C27='Policy card'!$C$3,'Deferred edits'!B27='Policy card'!$C$3)),1,0)</f>
        <v>0</v>
      </c>
      <c r="G29" s="0" t="str">
        <f aca="false">IF(F29=1,H29,"")</f>
        <v/>
      </c>
      <c r="H29" s="0" t="n">
        <f aca="false">H28+F29</f>
        <v>1</v>
      </c>
      <c r="I29" s="0" t="n">
        <f aca="false">IF('Deferred edits'!G27="Waiting",1,0)</f>
        <v>0</v>
      </c>
      <c r="J29" s="0" t="str">
        <f aca="false">IF(I29=1,K29,"")</f>
        <v/>
      </c>
      <c r="K29" s="0" t="n">
        <f aca="false">K28+I29</f>
        <v>5</v>
      </c>
      <c r="L29" s="0" t="n">
        <f aca="false">IF(AND(Versions!B27&lt;&gt;"",Versions!B27='Policy card'!$C$3),1,0)</f>
        <v>0</v>
      </c>
      <c r="M29" s="0" t="str">
        <f aca="false">IF(L29=1,N29,"")</f>
        <v/>
      </c>
      <c r="N29" s="0" t="n">
        <f aca="false">N28+L29</f>
        <v>2</v>
      </c>
      <c r="P29" s="0" t="n">
        <f aca="false">IF(AND(Comments!B27='Policy card'!$C$3,Comments!N27="Closed"),1,0)</f>
        <v>0</v>
      </c>
      <c r="Q29" s="0" t="n">
        <f aca="false">Q28+P29</f>
        <v>7</v>
      </c>
    </row>
    <row r="30" customFormat="false" ht="15" hidden="false" customHeight="false" outlineLevel="0" collapsed="false">
      <c r="A30" s="0" t="str">
        <f aca="false">IF(OR(Drafts!A28="",Drafts!E28="Withdrawn",AND(Drafts!E28="Adopted",OR(Drafts!N28="Complete",Drafts!N28="Not needed"))),"",IFERROR(MATCH(Drafts!E28,StageList,0),99)*1000+28)</f>
        <v/>
      </c>
      <c r="C30" s="0" t="n">
        <f aca="false">IF(AND(Comments!B28='Policy card'!$C$3,Comments!N28="Open"),1,0)</f>
        <v>0</v>
      </c>
      <c r="D30" s="0" t="str">
        <f aca="false">IF(C30=1,E30,IF(P30=1,$E$2003+Q30,""))</f>
        <v/>
      </c>
      <c r="E30" s="0" t="n">
        <f aca="false">E29+C30</f>
        <v>0</v>
      </c>
      <c r="F30" s="0" t="n">
        <f aca="false">IF(AND('Deferred edits'!C28&lt;&gt;"",OR('Deferred edits'!C28='Policy card'!$C$3,'Deferred edits'!B28='Policy card'!$C$3)),1,0)</f>
        <v>0</v>
      </c>
      <c r="G30" s="0" t="str">
        <f aca="false">IF(F30=1,H30,"")</f>
        <v/>
      </c>
      <c r="H30" s="0" t="n">
        <f aca="false">H29+F30</f>
        <v>1</v>
      </c>
      <c r="I30" s="0" t="n">
        <f aca="false">IF('Deferred edits'!G28="Waiting",1,0)</f>
        <v>0</v>
      </c>
      <c r="J30" s="0" t="str">
        <f aca="false">IF(I30=1,K30,"")</f>
        <v/>
      </c>
      <c r="K30" s="0" t="n">
        <f aca="false">K29+I30</f>
        <v>5</v>
      </c>
      <c r="L30" s="0" t="n">
        <f aca="false">IF(AND(Versions!B28&lt;&gt;"",Versions!B28='Policy card'!$C$3),1,0)</f>
        <v>0</v>
      </c>
      <c r="M30" s="0" t="str">
        <f aca="false">IF(L30=1,N30,"")</f>
        <v/>
      </c>
      <c r="N30" s="0" t="n">
        <f aca="false">N29+L30</f>
        <v>2</v>
      </c>
      <c r="P30" s="0" t="n">
        <f aca="false">IF(AND(Comments!B28='Policy card'!$C$3,Comments!N28="Closed"),1,0)</f>
        <v>0</v>
      </c>
      <c r="Q30" s="0" t="n">
        <f aca="false">Q29+P30</f>
        <v>7</v>
      </c>
    </row>
    <row r="31" customFormat="false" ht="15" hidden="false" customHeight="false" outlineLevel="0" collapsed="false">
      <c r="A31" s="0" t="str">
        <f aca="false">IF(OR(Drafts!A29="",Drafts!E29="Withdrawn",AND(Drafts!E29="Adopted",OR(Drafts!N29="Complete",Drafts!N29="Not needed"))),"",IFERROR(MATCH(Drafts!E29,StageList,0),99)*1000+29)</f>
        <v/>
      </c>
      <c r="C31" s="0" t="n">
        <f aca="false">IF(AND(Comments!B29='Policy card'!$C$3,Comments!N29="Open"),1,0)</f>
        <v>0</v>
      </c>
      <c r="D31" s="0" t="str">
        <f aca="false">IF(C31=1,E31,IF(P31=1,$E$2003+Q31,""))</f>
        <v/>
      </c>
      <c r="E31" s="0" t="n">
        <f aca="false">E30+C31</f>
        <v>0</v>
      </c>
      <c r="F31" s="0" t="n">
        <f aca="false">IF(AND('Deferred edits'!C29&lt;&gt;"",OR('Deferred edits'!C29='Policy card'!$C$3,'Deferred edits'!B29='Policy card'!$C$3)),1,0)</f>
        <v>0</v>
      </c>
      <c r="G31" s="0" t="str">
        <f aca="false">IF(F31=1,H31,"")</f>
        <v/>
      </c>
      <c r="H31" s="0" t="n">
        <f aca="false">H30+F31</f>
        <v>1</v>
      </c>
      <c r="I31" s="0" t="n">
        <f aca="false">IF('Deferred edits'!G29="Waiting",1,0)</f>
        <v>0</v>
      </c>
      <c r="J31" s="0" t="str">
        <f aca="false">IF(I31=1,K31,"")</f>
        <v/>
      </c>
      <c r="K31" s="0" t="n">
        <f aca="false">K30+I31</f>
        <v>5</v>
      </c>
      <c r="L31" s="0" t="n">
        <f aca="false">IF(AND(Versions!B29&lt;&gt;"",Versions!B29='Policy card'!$C$3),1,0)</f>
        <v>0</v>
      </c>
      <c r="M31" s="0" t="str">
        <f aca="false">IF(L31=1,N31,"")</f>
        <v/>
      </c>
      <c r="N31" s="0" t="n">
        <f aca="false">N30+L31</f>
        <v>2</v>
      </c>
      <c r="P31" s="0" t="n">
        <f aca="false">IF(AND(Comments!B29='Policy card'!$C$3,Comments!N29="Closed"),1,0)</f>
        <v>0</v>
      </c>
      <c r="Q31" s="0" t="n">
        <f aca="false">Q30+P31</f>
        <v>7</v>
      </c>
    </row>
    <row r="32" customFormat="false" ht="15" hidden="false" customHeight="false" outlineLevel="0" collapsed="false">
      <c r="A32" s="0" t="str">
        <f aca="false">IF(OR(Drafts!A30="",Drafts!E30="Withdrawn",AND(Drafts!E30="Adopted",OR(Drafts!N30="Complete",Drafts!N30="Not needed"))),"",IFERROR(MATCH(Drafts!E30,StageList,0),99)*1000+30)</f>
        <v/>
      </c>
      <c r="C32" s="0" t="n">
        <f aca="false">IF(AND(Comments!B30='Policy card'!$C$3,Comments!N30="Open"),1,0)</f>
        <v>0</v>
      </c>
      <c r="D32" s="0" t="str">
        <f aca="false">IF(C32=1,E32,IF(P32=1,$E$2003+Q32,""))</f>
        <v/>
      </c>
      <c r="E32" s="0" t="n">
        <f aca="false">E31+C32</f>
        <v>0</v>
      </c>
      <c r="F32" s="0" t="n">
        <f aca="false">IF(AND('Deferred edits'!C30&lt;&gt;"",OR('Deferred edits'!C30='Policy card'!$C$3,'Deferred edits'!B30='Policy card'!$C$3)),1,0)</f>
        <v>0</v>
      </c>
      <c r="G32" s="0" t="str">
        <f aca="false">IF(F32=1,H32,"")</f>
        <v/>
      </c>
      <c r="H32" s="0" t="n">
        <f aca="false">H31+F32</f>
        <v>1</v>
      </c>
      <c r="I32" s="0" t="n">
        <f aca="false">IF('Deferred edits'!G30="Waiting",1,0)</f>
        <v>0</v>
      </c>
      <c r="J32" s="0" t="str">
        <f aca="false">IF(I32=1,K32,"")</f>
        <v/>
      </c>
      <c r="K32" s="0" t="n">
        <f aca="false">K31+I32</f>
        <v>5</v>
      </c>
      <c r="L32" s="0" t="n">
        <f aca="false">IF(AND(Versions!B30&lt;&gt;"",Versions!B30='Policy card'!$C$3),1,0)</f>
        <v>0</v>
      </c>
      <c r="M32" s="0" t="str">
        <f aca="false">IF(L32=1,N32,"")</f>
        <v/>
      </c>
      <c r="N32" s="0" t="n">
        <f aca="false">N31+L32</f>
        <v>2</v>
      </c>
      <c r="P32" s="0" t="n">
        <f aca="false">IF(AND(Comments!B30='Policy card'!$C$3,Comments!N30="Closed"),1,0)</f>
        <v>0</v>
      </c>
      <c r="Q32" s="0" t="n">
        <f aca="false">Q31+P32</f>
        <v>7</v>
      </c>
    </row>
    <row r="33" customFormat="false" ht="15" hidden="false" customHeight="false" outlineLevel="0" collapsed="false">
      <c r="A33" s="0" t="str">
        <f aca="false">IF(OR(Drafts!A31="",Drafts!E31="Withdrawn",AND(Drafts!E31="Adopted",OR(Drafts!N31="Complete",Drafts!N31="Not needed"))),"",IFERROR(MATCH(Drafts!E31,StageList,0),99)*1000+31)</f>
        <v/>
      </c>
      <c r="C33" s="0" t="n">
        <f aca="false">IF(AND(Comments!B31='Policy card'!$C$3,Comments!N31="Open"),1,0)</f>
        <v>0</v>
      </c>
      <c r="D33" s="0" t="str">
        <f aca="false">IF(C33=1,E33,IF(P33=1,$E$2003+Q33,""))</f>
        <v/>
      </c>
      <c r="E33" s="0" t="n">
        <f aca="false">E32+C33</f>
        <v>0</v>
      </c>
      <c r="F33" s="0" t="n">
        <f aca="false">IF(AND('Deferred edits'!C31&lt;&gt;"",OR('Deferred edits'!C31='Policy card'!$C$3,'Deferred edits'!B31='Policy card'!$C$3)),1,0)</f>
        <v>0</v>
      </c>
      <c r="G33" s="0" t="str">
        <f aca="false">IF(F33=1,H33,"")</f>
        <v/>
      </c>
      <c r="H33" s="0" t="n">
        <f aca="false">H32+F33</f>
        <v>1</v>
      </c>
      <c r="I33" s="0" t="n">
        <f aca="false">IF('Deferred edits'!G31="Waiting",1,0)</f>
        <v>0</v>
      </c>
      <c r="J33" s="0" t="str">
        <f aca="false">IF(I33=1,K33,"")</f>
        <v/>
      </c>
      <c r="K33" s="0" t="n">
        <f aca="false">K32+I33</f>
        <v>5</v>
      </c>
      <c r="L33" s="0" t="n">
        <f aca="false">IF(AND(Versions!B31&lt;&gt;"",Versions!B31='Policy card'!$C$3),1,0)</f>
        <v>0</v>
      </c>
      <c r="M33" s="0" t="str">
        <f aca="false">IF(L33=1,N33,"")</f>
        <v/>
      </c>
      <c r="N33" s="0" t="n">
        <f aca="false">N32+L33</f>
        <v>2</v>
      </c>
      <c r="P33" s="0" t="n">
        <f aca="false">IF(AND(Comments!B31='Policy card'!$C$3,Comments!N31="Closed"),1,0)</f>
        <v>0</v>
      </c>
      <c r="Q33" s="0" t="n">
        <f aca="false">Q32+P33</f>
        <v>7</v>
      </c>
    </row>
    <row r="34" customFormat="false" ht="15" hidden="false" customHeight="false" outlineLevel="0" collapsed="false">
      <c r="A34" s="0" t="str">
        <f aca="false">IF(OR(Drafts!A32="",Drafts!E32="Withdrawn",AND(Drafts!E32="Adopted",OR(Drafts!N32="Complete",Drafts!N32="Not needed"))),"",IFERROR(MATCH(Drafts!E32,StageList,0),99)*1000+32)</f>
        <v/>
      </c>
      <c r="C34" s="0" t="n">
        <f aca="false">IF(AND(Comments!B32='Policy card'!$C$3,Comments!N32="Open"),1,0)</f>
        <v>0</v>
      </c>
      <c r="D34" s="0" t="str">
        <f aca="false">IF(C34=1,E34,IF(P34=1,$E$2003+Q34,""))</f>
        <v/>
      </c>
      <c r="E34" s="0" t="n">
        <f aca="false">E33+C34</f>
        <v>0</v>
      </c>
      <c r="F34" s="0" t="n">
        <f aca="false">IF(AND('Deferred edits'!C32&lt;&gt;"",OR('Deferred edits'!C32='Policy card'!$C$3,'Deferred edits'!B32='Policy card'!$C$3)),1,0)</f>
        <v>0</v>
      </c>
      <c r="G34" s="0" t="str">
        <f aca="false">IF(F34=1,H34,"")</f>
        <v/>
      </c>
      <c r="H34" s="0" t="n">
        <f aca="false">H33+F34</f>
        <v>1</v>
      </c>
      <c r="I34" s="0" t="n">
        <f aca="false">IF('Deferred edits'!G32="Waiting",1,0)</f>
        <v>0</v>
      </c>
      <c r="J34" s="0" t="str">
        <f aca="false">IF(I34=1,K34,"")</f>
        <v/>
      </c>
      <c r="K34" s="0" t="n">
        <f aca="false">K33+I34</f>
        <v>5</v>
      </c>
      <c r="L34" s="0" t="n">
        <f aca="false">IF(AND(Versions!B32&lt;&gt;"",Versions!B32='Policy card'!$C$3),1,0)</f>
        <v>0</v>
      </c>
      <c r="M34" s="0" t="str">
        <f aca="false">IF(L34=1,N34,"")</f>
        <v/>
      </c>
      <c r="N34" s="0" t="n">
        <f aca="false">N33+L34</f>
        <v>2</v>
      </c>
      <c r="P34" s="0" t="n">
        <f aca="false">IF(AND(Comments!B32='Policy card'!$C$3,Comments!N32="Closed"),1,0)</f>
        <v>0</v>
      </c>
      <c r="Q34" s="0" t="n">
        <f aca="false">Q33+P34</f>
        <v>7</v>
      </c>
    </row>
    <row r="35" customFormat="false" ht="15" hidden="false" customHeight="false" outlineLevel="0" collapsed="false">
      <c r="A35" s="0" t="str">
        <f aca="false">IF(OR(Drafts!A33="",Drafts!E33="Withdrawn",AND(Drafts!E33="Adopted",OR(Drafts!N33="Complete",Drafts!N33="Not needed"))),"",IFERROR(MATCH(Drafts!E33,StageList,0),99)*1000+33)</f>
        <v/>
      </c>
      <c r="C35" s="0" t="n">
        <f aca="false">IF(AND(Comments!B33='Policy card'!$C$3,Comments!N33="Open"),1,0)</f>
        <v>0</v>
      </c>
      <c r="D35" s="0" t="str">
        <f aca="false">IF(C35=1,E35,IF(P35=1,$E$2003+Q35,""))</f>
        <v/>
      </c>
      <c r="E35" s="0" t="n">
        <f aca="false">E34+C35</f>
        <v>0</v>
      </c>
      <c r="F35" s="0" t="n">
        <f aca="false">IF(AND('Deferred edits'!C33&lt;&gt;"",OR('Deferred edits'!C33='Policy card'!$C$3,'Deferred edits'!B33='Policy card'!$C$3)),1,0)</f>
        <v>0</v>
      </c>
      <c r="G35" s="0" t="str">
        <f aca="false">IF(F35=1,H35,"")</f>
        <v/>
      </c>
      <c r="H35" s="0" t="n">
        <f aca="false">H34+F35</f>
        <v>1</v>
      </c>
      <c r="I35" s="0" t="n">
        <f aca="false">IF('Deferred edits'!G33="Waiting",1,0)</f>
        <v>0</v>
      </c>
      <c r="J35" s="0" t="str">
        <f aca="false">IF(I35=1,K35,"")</f>
        <v/>
      </c>
      <c r="K35" s="0" t="n">
        <f aca="false">K34+I35</f>
        <v>5</v>
      </c>
      <c r="L35" s="0" t="n">
        <f aca="false">IF(AND(Versions!B33&lt;&gt;"",Versions!B33='Policy card'!$C$3),1,0)</f>
        <v>0</v>
      </c>
      <c r="M35" s="0" t="str">
        <f aca="false">IF(L35=1,N35,"")</f>
        <v/>
      </c>
      <c r="N35" s="0" t="n">
        <f aca="false">N34+L35</f>
        <v>2</v>
      </c>
      <c r="P35" s="0" t="n">
        <f aca="false">IF(AND(Comments!B33='Policy card'!$C$3,Comments!N33="Closed"),1,0)</f>
        <v>0</v>
      </c>
      <c r="Q35" s="0" t="n">
        <f aca="false">Q34+P35</f>
        <v>7</v>
      </c>
    </row>
    <row r="36" customFormat="false" ht="15" hidden="false" customHeight="false" outlineLevel="0" collapsed="false">
      <c r="A36" s="0" t="str">
        <f aca="false">IF(OR(Drafts!A34="",Drafts!E34="Withdrawn",AND(Drafts!E34="Adopted",OR(Drafts!N34="Complete",Drafts!N34="Not needed"))),"",IFERROR(MATCH(Drafts!E34,StageList,0),99)*1000+34)</f>
        <v/>
      </c>
      <c r="C36" s="0" t="n">
        <f aca="false">IF(AND(Comments!B34='Policy card'!$C$3,Comments!N34="Open"),1,0)</f>
        <v>0</v>
      </c>
      <c r="D36" s="0" t="str">
        <f aca="false">IF(C36=1,E36,IF(P36=1,$E$2003+Q36,""))</f>
        <v/>
      </c>
      <c r="E36" s="0" t="n">
        <f aca="false">E35+C36</f>
        <v>0</v>
      </c>
      <c r="F36" s="0" t="n">
        <f aca="false">IF(AND('Deferred edits'!C34&lt;&gt;"",OR('Deferred edits'!C34='Policy card'!$C$3,'Deferred edits'!B34='Policy card'!$C$3)),1,0)</f>
        <v>0</v>
      </c>
      <c r="G36" s="0" t="str">
        <f aca="false">IF(F36=1,H36,"")</f>
        <v/>
      </c>
      <c r="H36" s="0" t="n">
        <f aca="false">H35+F36</f>
        <v>1</v>
      </c>
      <c r="I36" s="0" t="n">
        <f aca="false">IF('Deferred edits'!G34="Waiting",1,0)</f>
        <v>0</v>
      </c>
      <c r="J36" s="0" t="str">
        <f aca="false">IF(I36=1,K36,"")</f>
        <v/>
      </c>
      <c r="K36" s="0" t="n">
        <f aca="false">K35+I36</f>
        <v>5</v>
      </c>
      <c r="L36" s="0" t="n">
        <f aca="false">IF(AND(Versions!B34&lt;&gt;"",Versions!B34='Policy card'!$C$3),1,0)</f>
        <v>0</v>
      </c>
      <c r="M36" s="0" t="str">
        <f aca="false">IF(L36=1,N36,"")</f>
        <v/>
      </c>
      <c r="N36" s="0" t="n">
        <f aca="false">N35+L36</f>
        <v>2</v>
      </c>
      <c r="P36" s="0" t="n">
        <f aca="false">IF(AND(Comments!B34='Policy card'!$C$3,Comments!N34="Closed"),1,0)</f>
        <v>0</v>
      </c>
      <c r="Q36" s="0" t="n">
        <f aca="false">Q35+P36</f>
        <v>7</v>
      </c>
    </row>
    <row r="37" customFormat="false" ht="15" hidden="false" customHeight="false" outlineLevel="0" collapsed="false">
      <c r="A37" s="0" t="str">
        <f aca="false">IF(OR(Drafts!A35="",Drafts!E35="Withdrawn",AND(Drafts!E35="Adopted",OR(Drafts!N35="Complete",Drafts!N35="Not needed"))),"",IFERROR(MATCH(Drafts!E35,StageList,0),99)*1000+35)</f>
        <v/>
      </c>
      <c r="C37" s="0" t="n">
        <f aca="false">IF(AND(Comments!B35='Policy card'!$C$3,Comments!N35="Open"),1,0)</f>
        <v>0</v>
      </c>
      <c r="D37" s="0" t="str">
        <f aca="false">IF(C37=1,E37,IF(P37=1,$E$2003+Q37,""))</f>
        <v/>
      </c>
      <c r="E37" s="0" t="n">
        <f aca="false">E36+C37</f>
        <v>0</v>
      </c>
      <c r="F37" s="0" t="n">
        <f aca="false">IF(AND('Deferred edits'!C35&lt;&gt;"",OR('Deferred edits'!C35='Policy card'!$C$3,'Deferred edits'!B35='Policy card'!$C$3)),1,0)</f>
        <v>0</v>
      </c>
      <c r="G37" s="0" t="str">
        <f aca="false">IF(F37=1,H37,"")</f>
        <v/>
      </c>
      <c r="H37" s="0" t="n">
        <f aca="false">H36+F37</f>
        <v>1</v>
      </c>
      <c r="I37" s="0" t="n">
        <f aca="false">IF('Deferred edits'!G35="Waiting",1,0)</f>
        <v>0</v>
      </c>
      <c r="J37" s="0" t="str">
        <f aca="false">IF(I37=1,K37,"")</f>
        <v/>
      </c>
      <c r="K37" s="0" t="n">
        <f aca="false">K36+I37</f>
        <v>5</v>
      </c>
      <c r="L37" s="0" t="n">
        <f aca="false">IF(AND(Versions!B35&lt;&gt;"",Versions!B35='Policy card'!$C$3),1,0)</f>
        <v>0</v>
      </c>
      <c r="M37" s="0" t="str">
        <f aca="false">IF(L37=1,N37,"")</f>
        <v/>
      </c>
      <c r="N37" s="0" t="n">
        <f aca="false">N36+L37</f>
        <v>2</v>
      </c>
      <c r="P37" s="0" t="n">
        <f aca="false">IF(AND(Comments!B35='Policy card'!$C$3,Comments!N35="Closed"),1,0)</f>
        <v>0</v>
      </c>
      <c r="Q37" s="0" t="n">
        <f aca="false">Q36+P37</f>
        <v>7</v>
      </c>
    </row>
    <row r="38" customFormat="false" ht="15" hidden="false" customHeight="false" outlineLevel="0" collapsed="false">
      <c r="A38" s="0" t="str">
        <f aca="false">IF(OR(Drafts!A36="",Drafts!E36="Withdrawn",AND(Drafts!E36="Adopted",OR(Drafts!N36="Complete",Drafts!N36="Not needed"))),"",IFERROR(MATCH(Drafts!E36,StageList,0),99)*1000+36)</f>
        <v/>
      </c>
      <c r="C38" s="0" t="n">
        <f aca="false">IF(AND(Comments!B36='Policy card'!$C$3,Comments!N36="Open"),1,0)</f>
        <v>0</v>
      </c>
      <c r="D38" s="0" t="str">
        <f aca="false">IF(C38=1,E38,IF(P38=1,$E$2003+Q38,""))</f>
        <v/>
      </c>
      <c r="E38" s="0" t="n">
        <f aca="false">E37+C38</f>
        <v>0</v>
      </c>
      <c r="F38" s="0" t="n">
        <f aca="false">IF(AND('Deferred edits'!C36&lt;&gt;"",OR('Deferred edits'!C36='Policy card'!$C$3,'Deferred edits'!B36='Policy card'!$C$3)),1,0)</f>
        <v>0</v>
      </c>
      <c r="G38" s="0" t="str">
        <f aca="false">IF(F38=1,H38,"")</f>
        <v/>
      </c>
      <c r="H38" s="0" t="n">
        <f aca="false">H37+F38</f>
        <v>1</v>
      </c>
      <c r="I38" s="0" t="n">
        <f aca="false">IF('Deferred edits'!G36="Waiting",1,0)</f>
        <v>0</v>
      </c>
      <c r="J38" s="0" t="str">
        <f aca="false">IF(I38=1,K38,"")</f>
        <v/>
      </c>
      <c r="K38" s="0" t="n">
        <f aca="false">K37+I38</f>
        <v>5</v>
      </c>
      <c r="L38" s="0" t="n">
        <f aca="false">IF(AND(Versions!B36&lt;&gt;"",Versions!B36='Policy card'!$C$3),1,0)</f>
        <v>0</v>
      </c>
      <c r="M38" s="0" t="str">
        <f aca="false">IF(L38=1,N38,"")</f>
        <v/>
      </c>
      <c r="N38" s="0" t="n">
        <f aca="false">N37+L38</f>
        <v>2</v>
      </c>
      <c r="P38" s="0" t="n">
        <f aca="false">IF(AND(Comments!B36='Policy card'!$C$3,Comments!N36="Closed"),1,0)</f>
        <v>0</v>
      </c>
      <c r="Q38" s="0" t="n">
        <f aca="false">Q37+P38</f>
        <v>7</v>
      </c>
    </row>
    <row r="39" customFormat="false" ht="15" hidden="false" customHeight="false" outlineLevel="0" collapsed="false">
      <c r="A39" s="0" t="str">
        <f aca="false">IF(OR(Drafts!A37="",Drafts!E37="Withdrawn",AND(Drafts!E37="Adopted",OR(Drafts!N37="Complete",Drafts!N37="Not needed"))),"",IFERROR(MATCH(Drafts!E37,StageList,0),99)*1000+37)</f>
        <v/>
      </c>
      <c r="C39" s="0" t="n">
        <f aca="false">IF(AND(Comments!B37='Policy card'!$C$3,Comments!N37="Open"),1,0)</f>
        <v>0</v>
      </c>
      <c r="D39" s="0" t="str">
        <f aca="false">IF(C39=1,E39,IF(P39=1,$E$2003+Q39,""))</f>
        <v/>
      </c>
      <c r="E39" s="0" t="n">
        <f aca="false">E38+C39</f>
        <v>0</v>
      </c>
      <c r="F39" s="0" t="n">
        <f aca="false">IF(AND('Deferred edits'!C37&lt;&gt;"",OR('Deferred edits'!C37='Policy card'!$C$3,'Deferred edits'!B37='Policy card'!$C$3)),1,0)</f>
        <v>0</v>
      </c>
      <c r="G39" s="0" t="str">
        <f aca="false">IF(F39=1,H39,"")</f>
        <v/>
      </c>
      <c r="H39" s="0" t="n">
        <f aca="false">H38+F39</f>
        <v>1</v>
      </c>
      <c r="I39" s="0" t="n">
        <f aca="false">IF('Deferred edits'!G37="Waiting",1,0)</f>
        <v>0</v>
      </c>
      <c r="J39" s="0" t="str">
        <f aca="false">IF(I39=1,K39,"")</f>
        <v/>
      </c>
      <c r="K39" s="0" t="n">
        <f aca="false">K38+I39</f>
        <v>5</v>
      </c>
      <c r="L39" s="0" t="n">
        <f aca="false">IF(AND(Versions!B37&lt;&gt;"",Versions!B37='Policy card'!$C$3),1,0)</f>
        <v>0</v>
      </c>
      <c r="M39" s="0" t="str">
        <f aca="false">IF(L39=1,N39,"")</f>
        <v/>
      </c>
      <c r="N39" s="0" t="n">
        <f aca="false">N38+L39</f>
        <v>2</v>
      </c>
      <c r="P39" s="0" t="n">
        <f aca="false">IF(AND(Comments!B37='Policy card'!$C$3,Comments!N37="Closed"),1,0)</f>
        <v>0</v>
      </c>
      <c r="Q39" s="0" t="n">
        <f aca="false">Q38+P39</f>
        <v>7</v>
      </c>
    </row>
    <row r="40" customFormat="false" ht="15" hidden="false" customHeight="false" outlineLevel="0" collapsed="false">
      <c r="A40" s="0" t="str">
        <f aca="false">IF(OR(Drafts!A38="",Drafts!E38="Withdrawn",AND(Drafts!E38="Adopted",OR(Drafts!N38="Complete",Drafts!N38="Not needed"))),"",IFERROR(MATCH(Drafts!E38,StageList,0),99)*1000+38)</f>
        <v/>
      </c>
      <c r="C40" s="0" t="n">
        <f aca="false">IF(AND(Comments!B38='Policy card'!$C$3,Comments!N38="Open"),1,0)</f>
        <v>0</v>
      </c>
      <c r="D40" s="0" t="str">
        <f aca="false">IF(C40=1,E40,IF(P40=1,$E$2003+Q40,""))</f>
        <v/>
      </c>
      <c r="E40" s="0" t="n">
        <f aca="false">E39+C40</f>
        <v>0</v>
      </c>
      <c r="F40" s="0" t="n">
        <f aca="false">IF(AND('Deferred edits'!C38&lt;&gt;"",OR('Deferred edits'!C38='Policy card'!$C$3,'Deferred edits'!B38='Policy card'!$C$3)),1,0)</f>
        <v>0</v>
      </c>
      <c r="G40" s="0" t="str">
        <f aca="false">IF(F40=1,H40,"")</f>
        <v/>
      </c>
      <c r="H40" s="0" t="n">
        <f aca="false">H39+F40</f>
        <v>1</v>
      </c>
      <c r="I40" s="0" t="n">
        <f aca="false">IF('Deferred edits'!G38="Waiting",1,0)</f>
        <v>0</v>
      </c>
      <c r="J40" s="0" t="str">
        <f aca="false">IF(I40=1,K40,"")</f>
        <v/>
      </c>
      <c r="K40" s="0" t="n">
        <f aca="false">K39+I40</f>
        <v>5</v>
      </c>
      <c r="L40" s="0" t="n">
        <f aca="false">IF(AND(Versions!B38&lt;&gt;"",Versions!B38='Policy card'!$C$3),1,0)</f>
        <v>0</v>
      </c>
      <c r="M40" s="0" t="str">
        <f aca="false">IF(L40=1,N40,"")</f>
        <v/>
      </c>
      <c r="N40" s="0" t="n">
        <f aca="false">N39+L40</f>
        <v>2</v>
      </c>
      <c r="P40" s="0" t="n">
        <f aca="false">IF(AND(Comments!B38='Policy card'!$C$3,Comments!N38="Closed"),1,0)</f>
        <v>0</v>
      </c>
      <c r="Q40" s="0" t="n">
        <f aca="false">Q39+P40</f>
        <v>7</v>
      </c>
    </row>
    <row r="41" customFormat="false" ht="15" hidden="false" customHeight="false" outlineLevel="0" collapsed="false">
      <c r="A41" s="0" t="str">
        <f aca="false">IF(OR(Drafts!A39="",Drafts!E39="Withdrawn",AND(Drafts!E39="Adopted",OR(Drafts!N39="Complete",Drafts!N39="Not needed"))),"",IFERROR(MATCH(Drafts!E39,StageList,0),99)*1000+39)</f>
        <v/>
      </c>
      <c r="C41" s="0" t="n">
        <f aca="false">IF(AND(Comments!B39='Policy card'!$C$3,Comments!N39="Open"),1,0)</f>
        <v>0</v>
      </c>
      <c r="D41" s="0" t="str">
        <f aca="false">IF(C41=1,E41,IF(P41=1,$E$2003+Q41,""))</f>
        <v/>
      </c>
      <c r="E41" s="0" t="n">
        <f aca="false">E40+C41</f>
        <v>0</v>
      </c>
      <c r="F41" s="0" t="n">
        <f aca="false">IF(AND('Deferred edits'!C39&lt;&gt;"",OR('Deferred edits'!C39='Policy card'!$C$3,'Deferred edits'!B39='Policy card'!$C$3)),1,0)</f>
        <v>0</v>
      </c>
      <c r="G41" s="0" t="str">
        <f aca="false">IF(F41=1,H41,"")</f>
        <v/>
      </c>
      <c r="H41" s="0" t="n">
        <f aca="false">H40+F41</f>
        <v>1</v>
      </c>
      <c r="I41" s="0" t="n">
        <f aca="false">IF('Deferred edits'!G39="Waiting",1,0)</f>
        <v>0</v>
      </c>
      <c r="J41" s="0" t="str">
        <f aca="false">IF(I41=1,K41,"")</f>
        <v/>
      </c>
      <c r="K41" s="0" t="n">
        <f aca="false">K40+I41</f>
        <v>5</v>
      </c>
      <c r="L41" s="0" t="n">
        <f aca="false">IF(AND(Versions!B39&lt;&gt;"",Versions!B39='Policy card'!$C$3),1,0)</f>
        <v>0</v>
      </c>
      <c r="M41" s="0" t="str">
        <f aca="false">IF(L41=1,N41,"")</f>
        <v/>
      </c>
      <c r="N41" s="0" t="n">
        <f aca="false">N40+L41</f>
        <v>2</v>
      </c>
      <c r="P41" s="0" t="n">
        <f aca="false">IF(AND(Comments!B39='Policy card'!$C$3,Comments!N39="Closed"),1,0)</f>
        <v>0</v>
      </c>
      <c r="Q41" s="0" t="n">
        <f aca="false">Q40+P41</f>
        <v>7</v>
      </c>
    </row>
    <row r="42" customFormat="false" ht="15" hidden="false" customHeight="false" outlineLevel="0" collapsed="false">
      <c r="A42" s="0" t="str">
        <f aca="false">IF(OR(Drafts!A40="",Drafts!E40="Withdrawn",AND(Drafts!E40="Adopted",OR(Drafts!N40="Complete",Drafts!N40="Not needed"))),"",IFERROR(MATCH(Drafts!E40,StageList,0),99)*1000+40)</f>
        <v/>
      </c>
      <c r="C42" s="0" t="n">
        <f aca="false">IF(AND(Comments!B40='Policy card'!$C$3,Comments!N40="Open"),1,0)</f>
        <v>0</v>
      </c>
      <c r="D42" s="0" t="str">
        <f aca="false">IF(C42=1,E42,IF(P42=1,$E$2003+Q42,""))</f>
        <v/>
      </c>
      <c r="E42" s="0" t="n">
        <f aca="false">E41+C42</f>
        <v>0</v>
      </c>
      <c r="F42" s="0" t="n">
        <f aca="false">IF(AND('Deferred edits'!C40&lt;&gt;"",OR('Deferred edits'!C40='Policy card'!$C$3,'Deferred edits'!B40='Policy card'!$C$3)),1,0)</f>
        <v>0</v>
      </c>
      <c r="G42" s="0" t="str">
        <f aca="false">IF(F42=1,H42,"")</f>
        <v/>
      </c>
      <c r="H42" s="0" t="n">
        <f aca="false">H41+F42</f>
        <v>1</v>
      </c>
      <c r="I42" s="0" t="n">
        <f aca="false">IF('Deferred edits'!G40="Waiting",1,0)</f>
        <v>0</v>
      </c>
      <c r="J42" s="0" t="str">
        <f aca="false">IF(I42=1,K42,"")</f>
        <v/>
      </c>
      <c r="K42" s="0" t="n">
        <f aca="false">K41+I42</f>
        <v>5</v>
      </c>
      <c r="L42" s="0" t="n">
        <f aca="false">IF(AND(Versions!B40&lt;&gt;"",Versions!B40='Policy card'!$C$3),1,0)</f>
        <v>0</v>
      </c>
      <c r="M42" s="0" t="str">
        <f aca="false">IF(L42=1,N42,"")</f>
        <v/>
      </c>
      <c r="N42" s="0" t="n">
        <f aca="false">N41+L42</f>
        <v>2</v>
      </c>
      <c r="P42" s="0" t="n">
        <f aca="false">IF(AND(Comments!B40='Policy card'!$C$3,Comments!N40="Closed"),1,0)</f>
        <v>0</v>
      </c>
      <c r="Q42" s="0" t="n">
        <f aca="false">Q41+P42</f>
        <v>7</v>
      </c>
    </row>
    <row r="43" customFormat="false" ht="15" hidden="false" customHeight="false" outlineLevel="0" collapsed="false">
      <c r="A43" s="0" t="str">
        <f aca="false">IF(OR(Drafts!A41="",Drafts!E41="Withdrawn",AND(Drafts!E41="Adopted",OR(Drafts!N41="Complete",Drafts!N41="Not needed"))),"",IFERROR(MATCH(Drafts!E41,StageList,0),99)*1000+41)</f>
        <v/>
      </c>
      <c r="C43" s="0" t="n">
        <f aca="false">IF(AND(Comments!B41='Policy card'!$C$3,Comments!N41="Open"),1,0)</f>
        <v>0</v>
      </c>
      <c r="D43" s="0" t="str">
        <f aca="false">IF(C43=1,E43,IF(P43=1,$E$2003+Q43,""))</f>
        <v/>
      </c>
      <c r="E43" s="0" t="n">
        <f aca="false">E42+C43</f>
        <v>0</v>
      </c>
      <c r="F43" s="0" t="n">
        <f aca="false">IF(AND('Deferred edits'!C41&lt;&gt;"",OR('Deferred edits'!C41='Policy card'!$C$3,'Deferred edits'!B41='Policy card'!$C$3)),1,0)</f>
        <v>0</v>
      </c>
      <c r="G43" s="0" t="str">
        <f aca="false">IF(F43=1,H43,"")</f>
        <v/>
      </c>
      <c r="H43" s="0" t="n">
        <f aca="false">H42+F43</f>
        <v>1</v>
      </c>
      <c r="I43" s="0" t="n">
        <f aca="false">IF('Deferred edits'!G41="Waiting",1,0)</f>
        <v>0</v>
      </c>
      <c r="J43" s="0" t="str">
        <f aca="false">IF(I43=1,K43,"")</f>
        <v/>
      </c>
      <c r="K43" s="0" t="n">
        <f aca="false">K42+I43</f>
        <v>5</v>
      </c>
      <c r="L43" s="0" t="n">
        <f aca="false">IF(AND(Versions!B41&lt;&gt;"",Versions!B41='Policy card'!$C$3),1,0)</f>
        <v>0</v>
      </c>
      <c r="M43" s="0" t="str">
        <f aca="false">IF(L43=1,N43,"")</f>
        <v/>
      </c>
      <c r="N43" s="0" t="n">
        <f aca="false">N42+L43</f>
        <v>2</v>
      </c>
      <c r="P43" s="0" t="n">
        <f aca="false">IF(AND(Comments!B41='Policy card'!$C$3,Comments!N41="Closed"),1,0)</f>
        <v>0</v>
      </c>
      <c r="Q43" s="0" t="n">
        <f aca="false">Q42+P43</f>
        <v>7</v>
      </c>
    </row>
    <row r="44" customFormat="false" ht="15" hidden="false" customHeight="false" outlineLevel="0" collapsed="false">
      <c r="A44" s="0" t="str">
        <f aca="false">IF(OR(Drafts!A42="",Drafts!E42="Withdrawn",AND(Drafts!E42="Adopted",OR(Drafts!N42="Complete",Drafts!N42="Not needed"))),"",IFERROR(MATCH(Drafts!E42,StageList,0),99)*1000+42)</f>
        <v/>
      </c>
      <c r="C44" s="0" t="n">
        <f aca="false">IF(AND(Comments!B42='Policy card'!$C$3,Comments!N42="Open"),1,0)</f>
        <v>0</v>
      </c>
      <c r="D44" s="0" t="str">
        <f aca="false">IF(C44=1,E44,IF(P44=1,$E$2003+Q44,""))</f>
        <v/>
      </c>
      <c r="E44" s="0" t="n">
        <f aca="false">E43+C44</f>
        <v>0</v>
      </c>
      <c r="F44" s="0" t="n">
        <f aca="false">IF(AND('Deferred edits'!C42&lt;&gt;"",OR('Deferred edits'!C42='Policy card'!$C$3,'Deferred edits'!B42='Policy card'!$C$3)),1,0)</f>
        <v>0</v>
      </c>
      <c r="G44" s="0" t="str">
        <f aca="false">IF(F44=1,H44,"")</f>
        <v/>
      </c>
      <c r="H44" s="0" t="n">
        <f aca="false">H43+F44</f>
        <v>1</v>
      </c>
      <c r="I44" s="0" t="n">
        <f aca="false">IF('Deferred edits'!G42="Waiting",1,0)</f>
        <v>0</v>
      </c>
      <c r="J44" s="0" t="str">
        <f aca="false">IF(I44=1,K44,"")</f>
        <v/>
      </c>
      <c r="K44" s="0" t="n">
        <f aca="false">K43+I44</f>
        <v>5</v>
      </c>
      <c r="L44" s="0" t="n">
        <f aca="false">IF(AND(Versions!B42&lt;&gt;"",Versions!B42='Policy card'!$C$3),1,0)</f>
        <v>0</v>
      </c>
      <c r="M44" s="0" t="str">
        <f aca="false">IF(L44=1,N44,"")</f>
        <v/>
      </c>
      <c r="N44" s="0" t="n">
        <f aca="false">N43+L44</f>
        <v>2</v>
      </c>
      <c r="P44" s="0" t="n">
        <f aca="false">IF(AND(Comments!B42='Policy card'!$C$3,Comments!N42="Closed"),1,0)</f>
        <v>0</v>
      </c>
      <c r="Q44" s="0" t="n">
        <f aca="false">Q43+P44</f>
        <v>7</v>
      </c>
    </row>
    <row r="45" customFormat="false" ht="15" hidden="false" customHeight="false" outlineLevel="0" collapsed="false">
      <c r="A45" s="0" t="str">
        <f aca="false">IF(OR(Drafts!A43="",Drafts!E43="Withdrawn",AND(Drafts!E43="Adopted",OR(Drafts!N43="Complete",Drafts!N43="Not needed"))),"",IFERROR(MATCH(Drafts!E43,StageList,0),99)*1000+43)</f>
        <v/>
      </c>
      <c r="C45" s="0" t="n">
        <f aca="false">IF(AND(Comments!B43='Policy card'!$C$3,Comments!N43="Open"),1,0)</f>
        <v>0</v>
      </c>
      <c r="D45" s="0" t="str">
        <f aca="false">IF(C45=1,E45,IF(P45=1,$E$2003+Q45,""))</f>
        <v/>
      </c>
      <c r="E45" s="0" t="n">
        <f aca="false">E44+C45</f>
        <v>0</v>
      </c>
      <c r="F45" s="0" t="n">
        <f aca="false">IF(AND('Deferred edits'!C43&lt;&gt;"",OR('Deferred edits'!C43='Policy card'!$C$3,'Deferred edits'!B43='Policy card'!$C$3)),1,0)</f>
        <v>0</v>
      </c>
      <c r="G45" s="0" t="str">
        <f aca="false">IF(F45=1,H45,"")</f>
        <v/>
      </c>
      <c r="H45" s="0" t="n">
        <f aca="false">H44+F45</f>
        <v>1</v>
      </c>
      <c r="I45" s="0" t="n">
        <f aca="false">IF('Deferred edits'!G43="Waiting",1,0)</f>
        <v>0</v>
      </c>
      <c r="J45" s="0" t="str">
        <f aca="false">IF(I45=1,K45,"")</f>
        <v/>
      </c>
      <c r="K45" s="0" t="n">
        <f aca="false">K44+I45</f>
        <v>5</v>
      </c>
      <c r="L45" s="0" t="n">
        <f aca="false">IF(AND(Versions!B43&lt;&gt;"",Versions!B43='Policy card'!$C$3),1,0)</f>
        <v>0</v>
      </c>
      <c r="M45" s="0" t="str">
        <f aca="false">IF(L45=1,N45,"")</f>
        <v/>
      </c>
      <c r="N45" s="0" t="n">
        <f aca="false">N44+L45</f>
        <v>2</v>
      </c>
      <c r="P45" s="0" t="n">
        <f aca="false">IF(AND(Comments!B43='Policy card'!$C$3,Comments!N43="Closed"),1,0)</f>
        <v>0</v>
      </c>
      <c r="Q45" s="0" t="n">
        <f aca="false">Q44+P45</f>
        <v>7</v>
      </c>
    </row>
    <row r="46" customFormat="false" ht="15" hidden="false" customHeight="false" outlineLevel="0" collapsed="false">
      <c r="A46" s="0" t="str">
        <f aca="false">IF(OR(Drafts!A44="",Drafts!E44="Withdrawn",AND(Drafts!E44="Adopted",OR(Drafts!N44="Complete",Drafts!N44="Not needed"))),"",IFERROR(MATCH(Drafts!E44,StageList,0),99)*1000+44)</f>
        <v/>
      </c>
      <c r="C46" s="0" t="n">
        <f aca="false">IF(AND(Comments!B44='Policy card'!$C$3,Comments!N44="Open"),1,0)</f>
        <v>0</v>
      </c>
      <c r="D46" s="0" t="str">
        <f aca="false">IF(C46=1,E46,IF(P46=1,$E$2003+Q46,""))</f>
        <v/>
      </c>
      <c r="E46" s="0" t="n">
        <f aca="false">E45+C46</f>
        <v>0</v>
      </c>
      <c r="F46" s="0" t="n">
        <f aca="false">IF(AND('Deferred edits'!C44&lt;&gt;"",OR('Deferred edits'!C44='Policy card'!$C$3,'Deferred edits'!B44='Policy card'!$C$3)),1,0)</f>
        <v>0</v>
      </c>
      <c r="G46" s="0" t="str">
        <f aca="false">IF(F46=1,H46,"")</f>
        <v/>
      </c>
      <c r="H46" s="0" t="n">
        <f aca="false">H45+F46</f>
        <v>1</v>
      </c>
      <c r="I46" s="0" t="n">
        <f aca="false">IF('Deferred edits'!G44="Waiting",1,0)</f>
        <v>0</v>
      </c>
      <c r="J46" s="0" t="str">
        <f aca="false">IF(I46=1,K46,"")</f>
        <v/>
      </c>
      <c r="K46" s="0" t="n">
        <f aca="false">K45+I46</f>
        <v>5</v>
      </c>
      <c r="L46" s="0" t="n">
        <f aca="false">IF(AND(Versions!B44&lt;&gt;"",Versions!B44='Policy card'!$C$3),1,0)</f>
        <v>0</v>
      </c>
      <c r="M46" s="0" t="str">
        <f aca="false">IF(L46=1,N46,"")</f>
        <v/>
      </c>
      <c r="N46" s="0" t="n">
        <f aca="false">N45+L46</f>
        <v>2</v>
      </c>
      <c r="P46" s="0" t="n">
        <f aca="false">IF(AND(Comments!B44='Policy card'!$C$3,Comments!N44="Closed"),1,0)</f>
        <v>0</v>
      </c>
      <c r="Q46" s="0" t="n">
        <f aca="false">Q45+P46</f>
        <v>7</v>
      </c>
    </row>
    <row r="47" customFormat="false" ht="15" hidden="false" customHeight="false" outlineLevel="0" collapsed="false">
      <c r="A47" s="0" t="str">
        <f aca="false">IF(OR(Drafts!A45="",Drafts!E45="Withdrawn",AND(Drafts!E45="Adopted",OR(Drafts!N45="Complete",Drafts!N45="Not needed"))),"",IFERROR(MATCH(Drafts!E45,StageList,0),99)*1000+45)</f>
        <v/>
      </c>
      <c r="C47" s="0" t="n">
        <f aca="false">IF(AND(Comments!B45='Policy card'!$C$3,Comments!N45="Open"),1,0)</f>
        <v>0</v>
      </c>
      <c r="D47" s="0" t="str">
        <f aca="false">IF(C47=1,E47,IF(P47=1,$E$2003+Q47,""))</f>
        <v/>
      </c>
      <c r="E47" s="0" t="n">
        <f aca="false">E46+C47</f>
        <v>0</v>
      </c>
      <c r="F47" s="0" t="n">
        <f aca="false">IF(AND('Deferred edits'!C45&lt;&gt;"",OR('Deferred edits'!C45='Policy card'!$C$3,'Deferred edits'!B45='Policy card'!$C$3)),1,0)</f>
        <v>0</v>
      </c>
      <c r="G47" s="0" t="str">
        <f aca="false">IF(F47=1,H47,"")</f>
        <v/>
      </c>
      <c r="H47" s="0" t="n">
        <f aca="false">H46+F47</f>
        <v>1</v>
      </c>
      <c r="I47" s="0" t="n">
        <f aca="false">IF('Deferred edits'!G45="Waiting",1,0)</f>
        <v>0</v>
      </c>
      <c r="J47" s="0" t="str">
        <f aca="false">IF(I47=1,K47,"")</f>
        <v/>
      </c>
      <c r="K47" s="0" t="n">
        <f aca="false">K46+I47</f>
        <v>5</v>
      </c>
      <c r="L47" s="0" t="n">
        <f aca="false">IF(AND(Versions!B45&lt;&gt;"",Versions!B45='Policy card'!$C$3),1,0)</f>
        <v>0</v>
      </c>
      <c r="M47" s="0" t="str">
        <f aca="false">IF(L47=1,N47,"")</f>
        <v/>
      </c>
      <c r="N47" s="0" t="n">
        <f aca="false">N46+L47</f>
        <v>2</v>
      </c>
      <c r="P47" s="0" t="n">
        <f aca="false">IF(AND(Comments!B45='Policy card'!$C$3,Comments!N45="Closed"),1,0)</f>
        <v>0</v>
      </c>
      <c r="Q47" s="0" t="n">
        <f aca="false">Q46+P47</f>
        <v>7</v>
      </c>
    </row>
    <row r="48" customFormat="false" ht="15" hidden="false" customHeight="false" outlineLevel="0" collapsed="false">
      <c r="A48" s="0" t="str">
        <f aca="false">IF(OR(Drafts!A46="",Drafts!E46="Withdrawn",AND(Drafts!E46="Adopted",OR(Drafts!N46="Complete",Drafts!N46="Not needed"))),"",IFERROR(MATCH(Drafts!E46,StageList,0),99)*1000+46)</f>
        <v/>
      </c>
      <c r="C48" s="0" t="n">
        <f aca="false">IF(AND(Comments!B46='Policy card'!$C$3,Comments!N46="Open"),1,0)</f>
        <v>0</v>
      </c>
      <c r="D48" s="0" t="str">
        <f aca="false">IF(C48=1,E48,IF(P48=1,$E$2003+Q48,""))</f>
        <v/>
      </c>
      <c r="E48" s="0" t="n">
        <f aca="false">E47+C48</f>
        <v>0</v>
      </c>
      <c r="F48" s="0" t="n">
        <f aca="false">IF(AND('Deferred edits'!C46&lt;&gt;"",OR('Deferred edits'!C46='Policy card'!$C$3,'Deferred edits'!B46='Policy card'!$C$3)),1,0)</f>
        <v>0</v>
      </c>
      <c r="G48" s="0" t="str">
        <f aca="false">IF(F48=1,H48,"")</f>
        <v/>
      </c>
      <c r="H48" s="0" t="n">
        <f aca="false">H47+F48</f>
        <v>1</v>
      </c>
      <c r="I48" s="0" t="n">
        <f aca="false">IF('Deferred edits'!G46="Waiting",1,0)</f>
        <v>0</v>
      </c>
      <c r="J48" s="0" t="str">
        <f aca="false">IF(I48=1,K48,"")</f>
        <v/>
      </c>
      <c r="K48" s="0" t="n">
        <f aca="false">K47+I48</f>
        <v>5</v>
      </c>
      <c r="L48" s="0" t="n">
        <f aca="false">IF(AND(Versions!B46&lt;&gt;"",Versions!B46='Policy card'!$C$3),1,0)</f>
        <v>0</v>
      </c>
      <c r="M48" s="0" t="str">
        <f aca="false">IF(L48=1,N48,"")</f>
        <v/>
      </c>
      <c r="N48" s="0" t="n">
        <f aca="false">N47+L48</f>
        <v>2</v>
      </c>
      <c r="P48" s="0" t="n">
        <f aca="false">IF(AND(Comments!B46='Policy card'!$C$3,Comments!N46="Closed"),1,0)</f>
        <v>0</v>
      </c>
      <c r="Q48" s="0" t="n">
        <f aca="false">Q47+P48</f>
        <v>7</v>
      </c>
    </row>
    <row r="49" customFormat="false" ht="15" hidden="false" customHeight="false" outlineLevel="0" collapsed="false">
      <c r="A49" s="0" t="str">
        <f aca="false">IF(OR(Drafts!A47="",Drafts!E47="Withdrawn",AND(Drafts!E47="Adopted",OR(Drafts!N47="Complete",Drafts!N47="Not needed"))),"",IFERROR(MATCH(Drafts!E47,StageList,0),99)*1000+47)</f>
        <v/>
      </c>
      <c r="C49" s="0" t="n">
        <f aca="false">IF(AND(Comments!B47='Policy card'!$C$3,Comments!N47="Open"),1,0)</f>
        <v>0</v>
      </c>
      <c r="D49" s="0" t="str">
        <f aca="false">IF(C49=1,E49,IF(P49=1,$E$2003+Q49,""))</f>
        <v/>
      </c>
      <c r="E49" s="0" t="n">
        <f aca="false">E48+C49</f>
        <v>0</v>
      </c>
      <c r="F49" s="0" t="n">
        <f aca="false">IF(AND('Deferred edits'!C47&lt;&gt;"",OR('Deferred edits'!C47='Policy card'!$C$3,'Deferred edits'!B47='Policy card'!$C$3)),1,0)</f>
        <v>0</v>
      </c>
      <c r="G49" s="0" t="str">
        <f aca="false">IF(F49=1,H49,"")</f>
        <v/>
      </c>
      <c r="H49" s="0" t="n">
        <f aca="false">H48+F49</f>
        <v>1</v>
      </c>
      <c r="I49" s="0" t="n">
        <f aca="false">IF('Deferred edits'!G47="Waiting",1,0)</f>
        <v>0</v>
      </c>
      <c r="J49" s="0" t="str">
        <f aca="false">IF(I49=1,K49,"")</f>
        <v/>
      </c>
      <c r="K49" s="0" t="n">
        <f aca="false">K48+I49</f>
        <v>5</v>
      </c>
      <c r="L49" s="0" t="n">
        <f aca="false">IF(AND(Versions!B47&lt;&gt;"",Versions!B47='Policy card'!$C$3),1,0)</f>
        <v>0</v>
      </c>
      <c r="M49" s="0" t="str">
        <f aca="false">IF(L49=1,N49,"")</f>
        <v/>
      </c>
      <c r="N49" s="0" t="n">
        <f aca="false">N48+L49</f>
        <v>2</v>
      </c>
      <c r="P49" s="0" t="n">
        <f aca="false">IF(AND(Comments!B47='Policy card'!$C$3,Comments!N47="Closed"),1,0)</f>
        <v>0</v>
      </c>
      <c r="Q49" s="0" t="n">
        <f aca="false">Q48+P49</f>
        <v>7</v>
      </c>
    </row>
    <row r="50" customFormat="false" ht="15" hidden="false" customHeight="false" outlineLevel="0" collapsed="false">
      <c r="A50" s="0" t="str">
        <f aca="false">IF(OR(Drafts!A48="",Drafts!E48="Withdrawn",AND(Drafts!E48="Adopted",OR(Drafts!N48="Complete",Drafts!N48="Not needed"))),"",IFERROR(MATCH(Drafts!E48,StageList,0),99)*1000+48)</f>
        <v/>
      </c>
      <c r="C50" s="0" t="n">
        <f aca="false">IF(AND(Comments!B48='Policy card'!$C$3,Comments!N48="Open"),1,0)</f>
        <v>0</v>
      </c>
      <c r="D50" s="0" t="str">
        <f aca="false">IF(C50=1,E50,IF(P50=1,$E$2003+Q50,""))</f>
        <v/>
      </c>
      <c r="E50" s="0" t="n">
        <f aca="false">E49+C50</f>
        <v>0</v>
      </c>
      <c r="F50" s="0" t="n">
        <f aca="false">IF(AND('Deferred edits'!C48&lt;&gt;"",OR('Deferred edits'!C48='Policy card'!$C$3,'Deferred edits'!B48='Policy card'!$C$3)),1,0)</f>
        <v>0</v>
      </c>
      <c r="G50" s="0" t="str">
        <f aca="false">IF(F50=1,H50,"")</f>
        <v/>
      </c>
      <c r="H50" s="0" t="n">
        <f aca="false">H49+F50</f>
        <v>1</v>
      </c>
      <c r="I50" s="0" t="n">
        <f aca="false">IF('Deferred edits'!G48="Waiting",1,0)</f>
        <v>0</v>
      </c>
      <c r="J50" s="0" t="str">
        <f aca="false">IF(I50=1,K50,"")</f>
        <v/>
      </c>
      <c r="K50" s="0" t="n">
        <f aca="false">K49+I50</f>
        <v>5</v>
      </c>
      <c r="L50" s="0" t="n">
        <f aca="false">IF(AND(Versions!B48&lt;&gt;"",Versions!B48='Policy card'!$C$3),1,0)</f>
        <v>0</v>
      </c>
      <c r="M50" s="0" t="str">
        <f aca="false">IF(L50=1,N50,"")</f>
        <v/>
      </c>
      <c r="N50" s="0" t="n">
        <f aca="false">N49+L50</f>
        <v>2</v>
      </c>
      <c r="P50" s="0" t="n">
        <f aca="false">IF(AND(Comments!B48='Policy card'!$C$3,Comments!N48="Closed"),1,0)</f>
        <v>0</v>
      </c>
      <c r="Q50" s="0" t="n">
        <f aca="false">Q49+P50</f>
        <v>7</v>
      </c>
    </row>
    <row r="51" customFormat="false" ht="15" hidden="false" customHeight="false" outlineLevel="0" collapsed="false">
      <c r="A51" s="0" t="str">
        <f aca="false">IF(OR(Drafts!A49="",Drafts!E49="Withdrawn",AND(Drafts!E49="Adopted",OR(Drafts!N49="Complete",Drafts!N49="Not needed"))),"",IFERROR(MATCH(Drafts!E49,StageList,0),99)*1000+49)</f>
        <v/>
      </c>
      <c r="C51" s="0" t="n">
        <f aca="false">IF(AND(Comments!B49='Policy card'!$C$3,Comments!N49="Open"),1,0)</f>
        <v>0</v>
      </c>
      <c r="D51" s="0" t="str">
        <f aca="false">IF(C51=1,E51,IF(P51=1,$E$2003+Q51,""))</f>
        <v/>
      </c>
      <c r="E51" s="0" t="n">
        <f aca="false">E50+C51</f>
        <v>0</v>
      </c>
      <c r="F51" s="0" t="n">
        <f aca="false">IF(AND('Deferred edits'!C49&lt;&gt;"",OR('Deferred edits'!C49='Policy card'!$C$3,'Deferred edits'!B49='Policy card'!$C$3)),1,0)</f>
        <v>0</v>
      </c>
      <c r="G51" s="0" t="str">
        <f aca="false">IF(F51=1,H51,"")</f>
        <v/>
      </c>
      <c r="H51" s="0" t="n">
        <f aca="false">H50+F51</f>
        <v>1</v>
      </c>
      <c r="I51" s="0" t="n">
        <f aca="false">IF('Deferred edits'!G49="Waiting",1,0)</f>
        <v>0</v>
      </c>
      <c r="J51" s="0" t="str">
        <f aca="false">IF(I51=1,K51,"")</f>
        <v/>
      </c>
      <c r="K51" s="0" t="n">
        <f aca="false">K50+I51</f>
        <v>5</v>
      </c>
      <c r="L51" s="0" t="n">
        <f aca="false">IF(AND(Versions!B49&lt;&gt;"",Versions!B49='Policy card'!$C$3),1,0)</f>
        <v>0</v>
      </c>
      <c r="M51" s="0" t="str">
        <f aca="false">IF(L51=1,N51,"")</f>
        <v/>
      </c>
      <c r="N51" s="0" t="n">
        <f aca="false">N50+L51</f>
        <v>2</v>
      </c>
      <c r="P51" s="0" t="n">
        <f aca="false">IF(AND(Comments!B49='Policy card'!$C$3,Comments!N49="Closed"),1,0)</f>
        <v>0</v>
      </c>
      <c r="Q51" s="0" t="n">
        <f aca="false">Q50+P51</f>
        <v>7</v>
      </c>
    </row>
    <row r="52" customFormat="false" ht="15" hidden="false" customHeight="false" outlineLevel="0" collapsed="false">
      <c r="A52" s="0" t="str">
        <f aca="false">IF(OR(Drafts!A50="",Drafts!E50="Withdrawn",AND(Drafts!E50="Adopted",OR(Drafts!N50="Complete",Drafts!N50="Not needed"))),"",IFERROR(MATCH(Drafts!E50,StageList,0),99)*1000+50)</f>
        <v/>
      </c>
      <c r="C52" s="0" t="n">
        <f aca="false">IF(AND(Comments!B50='Policy card'!$C$3,Comments!N50="Open"),1,0)</f>
        <v>0</v>
      </c>
      <c r="D52" s="0" t="str">
        <f aca="false">IF(C52=1,E52,IF(P52=1,$E$2003+Q52,""))</f>
        <v/>
      </c>
      <c r="E52" s="0" t="n">
        <f aca="false">E51+C52</f>
        <v>0</v>
      </c>
      <c r="F52" s="0" t="n">
        <f aca="false">IF(AND('Deferred edits'!C50&lt;&gt;"",OR('Deferred edits'!C50='Policy card'!$C$3,'Deferred edits'!B50='Policy card'!$C$3)),1,0)</f>
        <v>0</v>
      </c>
      <c r="G52" s="0" t="str">
        <f aca="false">IF(F52=1,H52,"")</f>
        <v/>
      </c>
      <c r="H52" s="0" t="n">
        <f aca="false">H51+F52</f>
        <v>1</v>
      </c>
      <c r="I52" s="0" t="n">
        <f aca="false">IF('Deferred edits'!G50="Waiting",1,0)</f>
        <v>0</v>
      </c>
      <c r="J52" s="0" t="str">
        <f aca="false">IF(I52=1,K52,"")</f>
        <v/>
      </c>
      <c r="K52" s="0" t="n">
        <f aca="false">K51+I52</f>
        <v>5</v>
      </c>
      <c r="L52" s="0" t="n">
        <f aca="false">IF(AND(Versions!B50&lt;&gt;"",Versions!B50='Policy card'!$C$3),1,0)</f>
        <v>0</v>
      </c>
      <c r="M52" s="0" t="str">
        <f aca="false">IF(L52=1,N52,"")</f>
        <v/>
      </c>
      <c r="N52" s="0" t="n">
        <f aca="false">N51+L52</f>
        <v>2</v>
      </c>
      <c r="P52" s="0" t="n">
        <f aca="false">IF(AND(Comments!B50='Policy card'!$C$3,Comments!N50="Closed"),1,0)</f>
        <v>0</v>
      </c>
      <c r="Q52" s="0" t="n">
        <f aca="false">Q51+P52</f>
        <v>7</v>
      </c>
    </row>
    <row r="53" customFormat="false" ht="15" hidden="false" customHeight="false" outlineLevel="0" collapsed="false">
      <c r="A53" s="0" t="str">
        <f aca="false">IF(OR(Drafts!A51="",Drafts!E51="Withdrawn",AND(Drafts!E51="Adopted",OR(Drafts!N51="Complete",Drafts!N51="Not needed"))),"",IFERROR(MATCH(Drafts!E51,StageList,0),99)*1000+51)</f>
        <v/>
      </c>
      <c r="C53" s="0" t="n">
        <f aca="false">IF(AND(Comments!B51='Policy card'!$C$3,Comments!N51="Open"),1,0)</f>
        <v>0</v>
      </c>
      <c r="D53" s="0" t="str">
        <f aca="false">IF(C53=1,E53,IF(P53=1,$E$2003+Q53,""))</f>
        <v/>
      </c>
      <c r="E53" s="0" t="n">
        <f aca="false">E52+C53</f>
        <v>0</v>
      </c>
      <c r="F53" s="0" t="n">
        <f aca="false">IF(AND('Deferred edits'!C51&lt;&gt;"",OR('Deferred edits'!C51='Policy card'!$C$3,'Deferred edits'!B51='Policy card'!$C$3)),1,0)</f>
        <v>0</v>
      </c>
      <c r="G53" s="0" t="str">
        <f aca="false">IF(F53=1,H53,"")</f>
        <v/>
      </c>
      <c r="H53" s="0" t="n">
        <f aca="false">H52+F53</f>
        <v>1</v>
      </c>
      <c r="I53" s="0" t="n">
        <f aca="false">IF('Deferred edits'!G51="Waiting",1,0)</f>
        <v>0</v>
      </c>
      <c r="J53" s="0" t="str">
        <f aca="false">IF(I53=1,K53,"")</f>
        <v/>
      </c>
      <c r="K53" s="0" t="n">
        <f aca="false">K52+I53</f>
        <v>5</v>
      </c>
      <c r="L53" s="0" t="n">
        <f aca="false">IF(AND(Versions!B51&lt;&gt;"",Versions!B51='Policy card'!$C$3),1,0)</f>
        <v>0</v>
      </c>
      <c r="M53" s="0" t="str">
        <f aca="false">IF(L53=1,N53,"")</f>
        <v/>
      </c>
      <c r="N53" s="0" t="n">
        <f aca="false">N52+L53</f>
        <v>2</v>
      </c>
      <c r="P53" s="0" t="n">
        <f aca="false">IF(AND(Comments!B51='Policy card'!$C$3,Comments!N51="Closed"),1,0)</f>
        <v>0</v>
      </c>
      <c r="Q53" s="0" t="n">
        <f aca="false">Q52+P53</f>
        <v>7</v>
      </c>
    </row>
    <row r="54" customFormat="false" ht="15" hidden="false" customHeight="false" outlineLevel="0" collapsed="false">
      <c r="A54" s="0" t="str">
        <f aca="false">IF(OR(Drafts!A52="",Drafts!E52="Withdrawn",AND(Drafts!E52="Adopted",OR(Drafts!N52="Complete",Drafts!N52="Not needed"))),"",IFERROR(MATCH(Drafts!E52,StageList,0),99)*1000+52)</f>
        <v/>
      </c>
      <c r="C54" s="0" t="n">
        <f aca="false">IF(AND(Comments!B52='Policy card'!$C$3,Comments!N52="Open"),1,0)</f>
        <v>0</v>
      </c>
      <c r="D54" s="0" t="str">
        <f aca="false">IF(C54=1,E54,IF(P54=1,$E$2003+Q54,""))</f>
        <v/>
      </c>
      <c r="E54" s="0" t="n">
        <f aca="false">E53+C54</f>
        <v>0</v>
      </c>
      <c r="F54" s="0" t="n">
        <f aca="false">IF(AND('Deferred edits'!C52&lt;&gt;"",OR('Deferred edits'!C52='Policy card'!$C$3,'Deferred edits'!B52='Policy card'!$C$3)),1,0)</f>
        <v>0</v>
      </c>
      <c r="G54" s="0" t="str">
        <f aca="false">IF(F54=1,H54,"")</f>
        <v/>
      </c>
      <c r="H54" s="0" t="n">
        <f aca="false">H53+F54</f>
        <v>1</v>
      </c>
      <c r="I54" s="0" t="n">
        <f aca="false">IF('Deferred edits'!G52="Waiting",1,0)</f>
        <v>0</v>
      </c>
      <c r="J54" s="0" t="str">
        <f aca="false">IF(I54=1,K54,"")</f>
        <v/>
      </c>
      <c r="K54" s="0" t="n">
        <f aca="false">K53+I54</f>
        <v>5</v>
      </c>
      <c r="L54" s="0" t="n">
        <f aca="false">IF(AND(Versions!B52&lt;&gt;"",Versions!B52='Policy card'!$C$3),1,0)</f>
        <v>0</v>
      </c>
      <c r="M54" s="0" t="str">
        <f aca="false">IF(L54=1,N54,"")</f>
        <v/>
      </c>
      <c r="N54" s="0" t="n">
        <f aca="false">N53+L54</f>
        <v>2</v>
      </c>
      <c r="P54" s="0" t="n">
        <f aca="false">IF(AND(Comments!B52='Policy card'!$C$3,Comments!N52="Closed"),1,0)</f>
        <v>0</v>
      </c>
      <c r="Q54" s="0" t="n">
        <f aca="false">Q53+P54</f>
        <v>7</v>
      </c>
    </row>
    <row r="55" customFormat="false" ht="15" hidden="false" customHeight="false" outlineLevel="0" collapsed="false">
      <c r="A55" s="0" t="str">
        <f aca="false">IF(OR(Drafts!A53="",Drafts!E53="Withdrawn",AND(Drafts!E53="Adopted",OR(Drafts!N53="Complete",Drafts!N53="Not needed"))),"",IFERROR(MATCH(Drafts!E53,StageList,0),99)*1000+53)</f>
        <v/>
      </c>
      <c r="C55" s="0" t="n">
        <f aca="false">IF(AND(Comments!B53='Policy card'!$C$3,Comments!N53="Open"),1,0)</f>
        <v>0</v>
      </c>
      <c r="D55" s="0" t="str">
        <f aca="false">IF(C55=1,E55,IF(P55=1,$E$2003+Q55,""))</f>
        <v/>
      </c>
      <c r="E55" s="0" t="n">
        <f aca="false">E54+C55</f>
        <v>0</v>
      </c>
      <c r="F55" s="0" t="n">
        <f aca="false">IF(AND('Deferred edits'!C53&lt;&gt;"",OR('Deferred edits'!C53='Policy card'!$C$3,'Deferred edits'!B53='Policy card'!$C$3)),1,0)</f>
        <v>0</v>
      </c>
      <c r="G55" s="0" t="str">
        <f aca="false">IF(F55=1,H55,"")</f>
        <v/>
      </c>
      <c r="H55" s="0" t="n">
        <f aca="false">H54+F55</f>
        <v>1</v>
      </c>
      <c r="I55" s="0" t="n">
        <f aca="false">IF('Deferred edits'!G53="Waiting",1,0)</f>
        <v>0</v>
      </c>
      <c r="J55" s="0" t="str">
        <f aca="false">IF(I55=1,K55,"")</f>
        <v/>
      </c>
      <c r="K55" s="0" t="n">
        <f aca="false">K54+I55</f>
        <v>5</v>
      </c>
      <c r="L55" s="0" t="n">
        <f aca="false">IF(AND(Versions!B53&lt;&gt;"",Versions!B53='Policy card'!$C$3),1,0)</f>
        <v>0</v>
      </c>
      <c r="M55" s="0" t="str">
        <f aca="false">IF(L55=1,N55,"")</f>
        <v/>
      </c>
      <c r="N55" s="0" t="n">
        <f aca="false">N54+L55</f>
        <v>2</v>
      </c>
      <c r="P55" s="0" t="n">
        <f aca="false">IF(AND(Comments!B53='Policy card'!$C$3,Comments!N53="Closed"),1,0)</f>
        <v>0</v>
      </c>
      <c r="Q55" s="0" t="n">
        <f aca="false">Q54+P55</f>
        <v>7</v>
      </c>
    </row>
    <row r="56" customFormat="false" ht="15" hidden="false" customHeight="false" outlineLevel="0" collapsed="false">
      <c r="A56" s="0" t="str">
        <f aca="false">IF(OR(Drafts!A54="",Drafts!E54="Withdrawn",AND(Drafts!E54="Adopted",OR(Drafts!N54="Complete",Drafts!N54="Not needed"))),"",IFERROR(MATCH(Drafts!E54,StageList,0),99)*1000+54)</f>
        <v/>
      </c>
      <c r="C56" s="0" t="n">
        <f aca="false">IF(AND(Comments!B54='Policy card'!$C$3,Comments!N54="Open"),1,0)</f>
        <v>0</v>
      </c>
      <c r="D56" s="0" t="str">
        <f aca="false">IF(C56=1,E56,IF(P56=1,$E$2003+Q56,""))</f>
        <v/>
      </c>
      <c r="E56" s="0" t="n">
        <f aca="false">E55+C56</f>
        <v>0</v>
      </c>
      <c r="F56" s="0" t="n">
        <f aca="false">IF(AND('Deferred edits'!C54&lt;&gt;"",OR('Deferred edits'!C54='Policy card'!$C$3,'Deferred edits'!B54='Policy card'!$C$3)),1,0)</f>
        <v>0</v>
      </c>
      <c r="G56" s="0" t="str">
        <f aca="false">IF(F56=1,H56,"")</f>
        <v/>
      </c>
      <c r="H56" s="0" t="n">
        <f aca="false">H55+F56</f>
        <v>1</v>
      </c>
      <c r="I56" s="0" t="n">
        <f aca="false">IF('Deferred edits'!G54="Waiting",1,0)</f>
        <v>0</v>
      </c>
      <c r="J56" s="0" t="str">
        <f aca="false">IF(I56=1,K56,"")</f>
        <v/>
      </c>
      <c r="K56" s="0" t="n">
        <f aca="false">K55+I56</f>
        <v>5</v>
      </c>
      <c r="L56" s="0" t="n">
        <f aca="false">IF(AND(Versions!B54&lt;&gt;"",Versions!B54='Policy card'!$C$3),1,0)</f>
        <v>0</v>
      </c>
      <c r="M56" s="0" t="str">
        <f aca="false">IF(L56=1,N56,"")</f>
        <v/>
      </c>
      <c r="N56" s="0" t="n">
        <f aca="false">N55+L56</f>
        <v>2</v>
      </c>
      <c r="P56" s="0" t="n">
        <f aca="false">IF(AND(Comments!B54='Policy card'!$C$3,Comments!N54="Closed"),1,0)</f>
        <v>0</v>
      </c>
      <c r="Q56" s="0" t="n">
        <f aca="false">Q55+P56</f>
        <v>7</v>
      </c>
    </row>
    <row r="57" customFormat="false" ht="15" hidden="false" customHeight="false" outlineLevel="0" collapsed="false">
      <c r="A57" s="0" t="str">
        <f aca="false">IF(OR(Drafts!A55="",Drafts!E55="Withdrawn",AND(Drafts!E55="Adopted",OR(Drafts!N55="Complete",Drafts!N55="Not needed"))),"",IFERROR(MATCH(Drafts!E55,StageList,0),99)*1000+55)</f>
        <v/>
      </c>
      <c r="C57" s="0" t="n">
        <f aca="false">IF(AND(Comments!B55='Policy card'!$C$3,Comments!N55="Open"),1,0)</f>
        <v>0</v>
      </c>
      <c r="D57" s="0" t="str">
        <f aca="false">IF(C57=1,E57,IF(P57=1,$E$2003+Q57,""))</f>
        <v/>
      </c>
      <c r="E57" s="0" t="n">
        <f aca="false">E56+C57</f>
        <v>0</v>
      </c>
      <c r="F57" s="0" t="n">
        <f aca="false">IF(AND('Deferred edits'!C55&lt;&gt;"",OR('Deferred edits'!C55='Policy card'!$C$3,'Deferred edits'!B55='Policy card'!$C$3)),1,0)</f>
        <v>0</v>
      </c>
      <c r="G57" s="0" t="str">
        <f aca="false">IF(F57=1,H57,"")</f>
        <v/>
      </c>
      <c r="H57" s="0" t="n">
        <f aca="false">H56+F57</f>
        <v>1</v>
      </c>
      <c r="I57" s="0" t="n">
        <f aca="false">IF('Deferred edits'!G55="Waiting",1,0)</f>
        <v>0</v>
      </c>
      <c r="J57" s="0" t="str">
        <f aca="false">IF(I57=1,K57,"")</f>
        <v/>
      </c>
      <c r="K57" s="0" t="n">
        <f aca="false">K56+I57</f>
        <v>5</v>
      </c>
      <c r="L57" s="0" t="n">
        <f aca="false">IF(AND(Versions!B55&lt;&gt;"",Versions!B55='Policy card'!$C$3),1,0)</f>
        <v>0</v>
      </c>
      <c r="M57" s="0" t="str">
        <f aca="false">IF(L57=1,N57,"")</f>
        <v/>
      </c>
      <c r="N57" s="0" t="n">
        <f aca="false">N56+L57</f>
        <v>2</v>
      </c>
      <c r="P57" s="0" t="n">
        <f aca="false">IF(AND(Comments!B55='Policy card'!$C$3,Comments!N55="Closed"),1,0)</f>
        <v>0</v>
      </c>
      <c r="Q57" s="0" t="n">
        <f aca="false">Q56+P57</f>
        <v>7</v>
      </c>
    </row>
    <row r="58" customFormat="false" ht="15" hidden="false" customHeight="false" outlineLevel="0" collapsed="false">
      <c r="A58" s="0" t="str">
        <f aca="false">IF(OR(Drafts!A56="",Drafts!E56="Withdrawn",AND(Drafts!E56="Adopted",OR(Drafts!N56="Complete",Drafts!N56="Not needed"))),"",IFERROR(MATCH(Drafts!E56,StageList,0),99)*1000+56)</f>
        <v/>
      </c>
      <c r="C58" s="0" t="n">
        <f aca="false">IF(AND(Comments!B56='Policy card'!$C$3,Comments!N56="Open"),1,0)</f>
        <v>0</v>
      </c>
      <c r="D58" s="0" t="str">
        <f aca="false">IF(C58=1,E58,IF(P58=1,$E$2003+Q58,""))</f>
        <v/>
      </c>
      <c r="E58" s="0" t="n">
        <f aca="false">E57+C58</f>
        <v>0</v>
      </c>
      <c r="F58" s="0" t="n">
        <f aca="false">IF(AND('Deferred edits'!C56&lt;&gt;"",OR('Deferred edits'!C56='Policy card'!$C$3,'Deferred edits'!B56='Policy card'!$C$3)),1,0)</f>
        <v>0</v>
      </c>
      <c r="G58" s="0" t="str">
        <f aca="false">IF(F58=1,H58,"")</f>
        <v/>
      </c>
      <c r="H58" s="0" t="n">
        <f aca="false">H57+F58</f>
        <v>1</v>
      </c>
      <c r="I58" s="0" t="n">
        <f aca="false">IF('Deferred edits'!G56="Waiting",1,0)</f>
        <v>0</v>
      </c>
      <c r="J58" s="0" t="str">
        <f aca="false">IF(I58=1,K58,"")</f>
        <v/>
      </c>
      <c r="K58" s="0" t="n">
        <f aca="false">K57+I58</f>
        <v>5</v>
      </c>
      <c r="L58" s="0" t="n">
        <f aca="false">IF(AND(Versions!B56&lt;&gt;"",Versions!B56='Policy card'!$C$3),1,0)</f>
        <v>0</v>
      </c>
      <c r="M58" s="0" t="str">
        <f aca="false">IF(L58=1,N58,"")</f>
        <v/>
      </c>
      <c r="N58" s="0" t="n">
        <f aca="false">N57+L58</f>
        <v>2</v>
      </c>
      <c r="P58" s="0" t="n">
        <f aca="false">IF(AND(Comments!B56='Policy card'!$C$3,Comments!N56="Closed"),1,0)</f>
        <v>0</v>
      </c>
      <c r="Q58" s="0" t="n">
        <f aca="false">Q57+P58</f>
        <v>7</v>
      </c>
    </row>
    <row r="59" customFormat="false" ht="15" hidden="false" customHeight="false" outlineLevel="0" collapsed="false">
      <c r="A59" s="0" t="str">
        <f aca="false">IF(OR(Drafts!A57="",Drafts!E57="Withdrawn",AND(Drafts!E57="Adopted",OR(Drafts!N57="Complete",Drafts!N57="Not needed"))),"",IFERROR(MATCH(Drafts!E57,StageList,0),99)*1000+57)</f>
        <v/>
      </c>
      <c r="C59" s="0" t="n">
        <f aca="false">IF(AND(Comments!B57='Policy card'!$C$3,Comments!N57="Open"),1,0)</f>
        <v>0</v>
      </c>
      <c r="D59" s="0" t="str">
        <f aca="false">IF(C59=1,E59,IF(P59=1,$E$2003+Q59,""))</f>
        <v/>
      </c>
      <c r="E59" s="0" t="n">
        <f aca="false">E58+C59</f>
        <v>0</v>
      </c>
      <c r="F59" s="0" t="n">
        <f aca="false">IF(AND('Deferred edits'!C57&lt;&gt;"",OR('Deferred edits'!C57='Policy card'!$C$3,'Deferred edits'!B57='Policy card'!$C$3)),1,0)</f>
        <v>0</v>
      </c>
      <c r="G59" s="0" t="str">
        <f aca="false">IF(F59=1,H59,"")</f>
        <v/>
      </c>
      <c r="H59" s="0" t="n">
        <f aca="false">H58+F59</f>
        <v>1</v>
      </c>
      <c r="I59" s="0" t="n">
        <f aca="false">IF('Deferred edits'!G57="Waiting",1,0)</f>
        <v>0</v>
      </c>
      <c r="J59" s="0" t="str">
        <f aca="false">IF(I59=1,K59,"")</f>
        <v/>
      </c>
      <c r="K59" s="0" t="n">
        <f aca="false">K58+I59</f>
        <v>5</v>
      </c>
      <c r="L59" s="0" t="n">
        <f aca="false">IF(AND(Versions!B57&lt;&gt;"",Versions!B57='Policy card'!$C$3),1,0)</f>
        <v>0</v>
      </c>
      <c r="M59" s="0" t="str">
        <f aca="false">IF(L59=1,N59,"")</f>
        <v/>
      </c>
      <c r="N59" s="0" t="n">
        <f aca="false">N58+L59</f>
        <v>2</v>
      </c>
      <c r="P59" s="0" t="n">
        <f aca="false">IF(AND(Comments!B57='Policy card'!$C$3,Comments!N57="Closed"),1,0)</f>
        <v>0</v>
      </c>
      <c r="Q59" s="0" t="n">
        <f aca="false">Q58+P59</f>
        <v>7</v>
      </c>
    </row>
    <row r="60" customFormat="false" ht="15" hidden="false" customHeight="false" outlineLevel="0" collapsed="false">
      <c r="A60" s="0" t="str">
        <f aca="false">IF(OR(Drafts!A58="",Drafts!E58="Withdrawn",AND(Drafts!E58="Adopted",OR(Drafts!N58="Complete",Drafts!N58="Not needed"))),"",IFERROR(MATCH(Drafts!E58,StageList,0),99)*1000+58)</f>
        <v/>
      </c>
      <c r="C60" s="0" t="n">
        <f aca="false">IF(AND(Comments!B58='Policy card'!$C$3,Comments!N58="Open"),1,0)</f>
        <v>0</v>
      </c>
      <c r="D60" s="0" t="str">
        <f aca="false">IF(C60=1,E60,IF(P60=1,$E$2003+Q60,""))</f>
        <v/>
      </c>
      <c r="E60" s="0" t="n">
        <f aca="false">E59+C60</f>
        <v>0</v>
      </c>
      <c r="F60" s="0" t="n">
        <f aca="false">IF(AND('Deferred edits'!C58&lt;&gt;"",OR('Deferred edits'!C58='Policy card'!$C$3,'Deferred edits'!B58='Policy card'!$C$3)),1,0)</f>
        <v>0</v>
      </c>
      <c r="G60" s="0" t="str">
        <f aca="false">IF(F60=1,H60,"")</f>
        <v/>
      </c>
      <c r="H60" s="0" t="n">
        <f aca="false">H59+F60</f>
        <v>1</v>
      </c>
      <c r="I60" s="0" t="n">
        <f aca="false">IF('Deferred edits'!G58="Waiting",1,0)</f>
        <v>0</v>
      </c>
      <c r="J60" s="0" t="str">
        <f aca="false">IF(I60=1,K60,"")</f>
        <v/>
      </c>
      <c r="K60" s="0" t="n">
        <f aca="false">K59+I60</f>
        <v>5</v>
      </c>
      <c r="L60" s="0" t="n">
        <f aca="false">IF(AND(Versions!B58&lt;&gt;"",Versions!B58='Policy card'!$C$3),1,0)</f>
        <v>0</v>
      </c>
      <c r="M60" s="0" t="str">
        <f aca="false">IF(L60=1,N60,"")</f>
        <v/>
      </c>
      <c r="N60" s="0" t="n">
        <f aca="false">N59+L60</f>
        <v>2</v>
      </c>
      <c r="P60" s="0" t="n">
        <f aca="false">IF(AND(Comments!B58='Policy card'!$C$3,Comments!N58="Closed"),1,0)</f>
        <v>0</v>
      </c>
      <c r="Q60" s="0" t="n">
        <f aca="false">Q59+P60</f>
        <v>7</v>
      </c>
    </row>
    <row r="61" customFormat="false" ht="15" hidden="false" customHeight="false" outlineLevel="0" collapsed="false">
      <c r="A61" s="0" t="str">
        <f aca="false">IF(OR(Drafts!A59="",Drafts!E59="Withdrawn",AND(Drafts!E59="Adopted",OR(Drafts!N59="Complete",Drafts!N59="Not needed"))),"",IFERROR(MATCH(Drafts!E59,StageList,0),99)*1000+59)</f>
        <v/>
      </c>
      <c r="C61" s="0" t="n">
        <f aca="false">IF(AND(Comments!B59='Policy card'!$C$3,Comments!N59="Open"),1,0)</f>
        <v>0</v>
      </c>
      <c r="D61" s="0" t="str">
        <f aca="false">IF(C61=1,E61,IF(P61=1,$E$2003+Q61,""))</f>
        <v/>
      </c>
      <c r="E61" s="0" t="n">
        <f aca="false">E60+C61</f>
        <v>0</v>
      </c>
      <c r="F61" s="0" t="n">
        <f aca="false">IF(AND('Deferred edits'!C59&lt;&gt;"",OR('Deferred edits'!C59='Policy card'!$C$3,'Deferred edits'!B59='Policy card'!$C$3)),1,0)</f>
        <v>0</v>
      </c>
      <c r="G61" s="0" t="str">
        <f aca="false">IF(F61=1,H61,"")</f>
        <v/>
      </c>
      <c r="H61" s="0" t="n">
        <f aca="false">H60+F61</f>
        <v>1</v>
      </c>
      <c r="I61" s="0" t="n">
        <f aca="false">IF('Deferred edits'!G59="Waiting",1,0)</f>
        <v>0</v>
      </c>
      <c r="J61" s="0" t="str">
        <f aca="false">IF(I61=1,K61,"")</f>
        <v/>
      </c>
      <c r="K61" s="0" t="n">
        <f aca="false">K60+I61</f>
        <v>5</v>
      </c>
      <c r="L61" s="0" t="n">
        <f aca="false">IF(AND(Versions!B59&lt;&gt;"",Versions!B59='Policy card'!$C$3),1,0)</f>
        <v>0</v>
      </c>
      <c r="M61" s="0" t="str">
        <f aca="false">IF(L61=1,N61,"")</f>
        <v/>
      </c>
      <c r="N61" s="0" t="n">
        <f aca="false">N60+L61</f>
        <v>2</v>
      </c>
      <c r="P61" s="0" t="n">
        <f aca="false">IF(AND(Comments!B59='Policy card'!$C$3,Comments!N59="Closed"),1,0)</f>
        <v>0</v>
      </c>
      <c r="Q61" s="0" t="n">
        <f aca="false">Q60+P61</f>
        <v>7</v>
      </c>
    </row>
    <row r="62" customFormat="false" ht="15" hidden="false" customHeight="false" outlineLevel="0" collapsed="false">
      <c r="A62" s="0" t="str">
        <f aca="false">IF(OR(Drafts!A60="",Drafts!E60="Withdrawn",AND(Drafts!E60="Adopted",OR(Drafts!N60="Complete",Drafts!N60="Not needed"))),"",IFERROR(MATCH(Drafts!E60,StageList,0),99)*1000+60)</f>
        <v/>
      </c>
      <c r="C62" s="0" t="n">
        <f aca="false">IF(AND(Comments!B60='Policy card'!$C$3,Comments!N60="Open"),1,0)</f>
        <v>0</v>
      </c>
      <c r="D62" s="0" t="str">
        <f aca="false">IF(C62=1,E62,IF(P62=1,$E$2003+Q62,""))</f>
        <v/>
      </c>
      <c r="E62" s="0" t="n">
        <f aca="false">E61+C62</f>
        <v>0</v>
      </c>
      <c r="F62" s="0" t="n">
        <f aca="false">IF(AND('Deferred edits'!C60&lt;&gt;"",OR('Deferred edits'!C60='Policy card'!$C$3,'Deferred edits'!B60='Policy card'!$C$3)),1,0)</f>
        <v>0</v>
      </c>
      <c r="G62" s="0" t="str">
        <f aca="false">IF(F62=1,H62,"")</f>
        <v/>
      </c>
      <c r="H62" s="0" t="n">
        <f aca="false">H61+F62</f>
        <v>1</v>
      </c>
      <c r="I62" s="0" t="n">
        <f aca="false">IF('Deferred edits'!G60="Waiting",1,0)</f>
        <v>0</v>
      </c>
      <c r="J62" s="0" t="str">
        <f aca="false">IF(I62=1,K62,"")</f>
        <v/>
      </c>
      <c r="K62" s="0" t="n">
        <f aca="false">K61+I62</f>
        <v>5</v>
      </c>
      <c r="L62" s="0" t="n">
        <f aca="false">IF(AND(Versions!B60&lt;&gt;"",Versions!B60='Policy card'!$C$3),1,0)</f>
        <v>0</v>
      </c>
      <c r="M62" s="0" t="str">
        <f aca="false">IF(L62=1,N62,"")</f>
        <v/>
      </c>
      <c r="N62" s="0" t="n">
        <f aca="false">N61+L62</f>
        <v>2</v>
      </c>
      <c r="P62" s="0" t="n">
        <f aca="false">IF(AND(Comments!B60='Policy card'!$C$3,Comments!N60="Closed"),1,0)</f>
        <v>0</v>
      </c>
      <c r="Q62" s="0" t="n">
        <f aca="false">Q61+P62</f>
        <v>7</v>
      </c>
    </row>
    <row r="63" customFormat="false" ht="15" hidden="false" customHeight="false" outlineLevel="0" collapsed="false">
      <c r="A63" s="0" t="str">
        <f aca="false">IF(OR(Drafts!A61="",Drafts!E61="Withdrawn",AND(Drafts!E61="Adopted",OR(Drafts!N61="Complete",Drafts!N61="Not needed"))),"",IFERROR(MATCH(Drafts!E61,StageList,0),99)*1000+61)</f>
        <v/>
      </c>
      <c r="C63" s="0" t="n">
        <f aca="false">IF(AND(Comments!B61='Policy card'!$C$3,Comments!N61="Open"),1,0)</f>
        <v>0</v>
      </c>
      <c r="D63" s="0" t="str">
        <f aca="false">IF(C63=1,E63,IF(P63=1,$E$2003+Q63,""))</f>
        <v/>
      </c>
      <c r="E63" s="0" t="n">
        <f aca="false">E62+C63</f>
        <v>0</v>
      </c>
      <c r="F63" s="0" t="n">
        <f aca="false">IF(AND('Deferred edits'!C61&lt;&gt;"",OR('Deferred edits'!C61='Policy card'!$C$3,'Deferred edits'!B61='Policy card'!$C$3)),1,0)</f>
        <v>0</v>
      </c>
      <c r="G63" s="0" t="str">
        <f aca="false">IF(F63=1,H63,"")</f>
        <v/>
      </c>
      <c r="H63" s="0" t="n">
        <f aca="false">H62+F63</f>
        <v>1</v>
      </c>
      <c r="I63" s="0" t="n">
        <f aca="false">IF('Deferred edits'!G61="Waiting",1,0)</f>
        <v>0</v>
      </c>
      <c r="J63" s="0" t="str">
        <f aca="false">IF(I63=1,K63,"")</f>
        <v/>
      </c>
      <c r="K63" s="0" t="n">
        <f aca="false">K62+I63</f>
        <v>5</v>
      </c>
      <c r="L63" s="0" t="n">
        <f aca="false">IF(AND(Versions!B61&lt;&gt;"",Versions!B61='Policy card'!$C$3),1,0)</f>
        <v>0</v>
      </c>
      <c r="M63" s="0" t="str">
        <f aca="false">IF(L63=1,N63,"")</f>
        <v/>
      </c>
      <c r="N63" s="0" t="n">
        <f aca="false">N62+L63</f>
        <v>2</v>
      </c>
      <c r="P63" s="0" t="n">
        <f aca="false">IF(AND(Comments!B61='Policy card'!$C$3,Comments!N61="Closed"),1,0)</f>
        <v>0</v>
      </c>
      <c r="Q63" s="0" t="n">
        <f aca="false">Q62+P63</f>
        <v>7</v>
      </c>
    </row>
    <row r="64" customFormat="false" ht="15" hidden="false" customHeight="false" outlineLevel="0" collapsed="false">
      <c r="A64" s="0" t="str">
        <f aca="false">IF(OR(Drafts!A62="",Drafts!E62="Withdrawn",AND(Drafts!E62="Adopted",OR(Drafts!N62="Complete",Drafts!N62="Not needed"))),"",IFERROR(MATCH(Drafts!E62,StageList,0),99)*1000+62)</f>
        <v/>
      </c>
      <c r="C64" s="0" t="n">
        <f aca="false">IF(AND(Comments!B62='Policy card'!$C$3,Comments!N62="Open"),1,0)</f>
        <v>0</v>
      </c>
      <c r="D64" s="0" t="str">
        <f aca="false">IF(C64=1,E64,IF(P64=1,$E$2003+Q64,""))</f>
        <v/>
      </c>
      <c r="E64" s="0" t="n">
        <f aca="false">E63+C64</f>
        <v>0</v>
      </c>
      <c r="F64" s="0" t="n">
        <f aca="false">IF(AND('Deferred edits'!C62&lt;&gt;"",OR('Deferred edits'!C62='Policy card'!$C$3,'Deferred edits'!B62='Policy card'!$C$3)),1,0)</f>
        <v>0</v>
      </c>
      <c r="G64" s="0" t="str">
        <f aca="false">IF(F64=1,H64,"")</f>
        <v/>
      </c>
      <c r="H64" s="0" t="n">
        <f aca="false">H63+F64</f>
        <v>1</v>
      </c>
      <c r="I64" s="0" t="n">
        <f aca="false">IF('Deferred edits'!G62="Waiting",1,0)</f>
        <v>0</v>
      </c>
      <c r="J64" s="0" t="str">
        <f aca="false">IF(I64=1,K64,"")</f>
        <v/>
      </c>
      <c r="K64" s="0" t="n">
        <f aca="false">K63+I64</f>
        <v>5</v>
      </c>
      <c r="L64" s="0" t="n">
        <f aca="false">IF(AND(Versions!B62&lt;&gt;"",Versions!B62='Policy card'!$C$3),1,0)</f>
        <v>0</v>
      </c>
      <c r="M64" s="0" t="str">
        <f aca="false">IF(L64=1,N64,"")</f>
        <v/>
      </c>
      <c r="N64" s="0" t="n">
        <f aca="false">N63+L64</f>
        <v>2</v>
      </c>
      <c r="P64" s="0" t="n">
        <f aca="false">IF(AND(Comments!B62='Policy card'!$C$3,Comments!N62="Closed"),1,0)</f>
        <v>0</v>
      </c>
      <c r="Q64" s="0" t="n">
        <f aca="false">Q63+P64</f>
        <v>7</v>
      </c>
    </row>
    <row r="65" customFormat="false" ht="15" hidden="false" customHeight="false" outlineLevel="0" collapsed="false">
      <c r="A65" s="0" t="str">
        <f aca="false">IF(OR(Drafts!A63="",Drafts!E63="Withdrawn",AND(Drafts!E63="Adopted",OR(Drafts!N63="Complete",Drafts!N63="Not needed"))),"",IFERROR(MATCH(Drafts!E63,StageList,0),99)*1000+63)</f>
        <v/>
      </c>
      <c r="C65" s="0" t="n">
        <f aca="false">IF(AND(Comments!B63='Policy card'!$C$3,Comments!N63="Open"),1,0)</f>
        <v>0</v>
      </c>
      <c r="D65" s="0" t="str">
        <f aca="false">IF(C65=1,E65,IF(P65=1,$E$2003+Q65,""))</f>
        <v/>
      </c>
      <c r="E65" s="0" t="n">
        <f aca="false">E64+C65</f>
        <v>0</v>
      </c>
      <c r="F65" s="0" t="n">
        <f aca="false">IF(AND('Deferred edits'!C63&lt;&gt;"",OR('Deferred edits'!C63='Policy card'!$C$3,'Deferred edits'!B63='Policy card'!$C$3)),1,0)</f>
        <v>0</v>
      </c>
      <c r="G65" s="0" t="str">
        <f aca="false">IF(F65=1,H65,"")</f>
        <v/>
      </c>
      <c r="H65" s="0" t="n">
        <f aca="false">H64+F65</f>
        <v>1</v>
      </c>
      <c r="I65" s="0" t="n">
        <f aca="false">IF('Deferred edits'!G63="Waiting",1,0)</f>
        <v>0</v>
      </c>
      <c r="J65" s="0" t="str">
        <f aca="false">IF(I65=1,K65,"")</f>
        <v/>
      </c>
      <c r="K65" s="0" t="n">
        <f aca="false">K64+I65</f>
        <v>5</v>
      </c>
      <c r="L65" s="0" t="n">
        <f aca="false">IF(AND(Versions!B63&lt;&gt;"",Versions!B63='Policy card'!$C$3),1,0)</f>
        <v>0</v>
      </c>
      <c r="M65" s="0" t="str">
        <f aca="false">IF(L65=1,N65,"")</f>
        <v/>
      </c>
      <c r="N65" s="0" t="n">
        <f aca="false">N64+L65</f>
        <v>2</v>
      </c>
      <c r="P65" s="0" t="n">
        <f aca="false">IF(AND(Comments!B63='Policy card'!$C$3,Comments!N63="Closed"),1,0)</f>
        <v>0</v>
      </c>
      <c r="Q65" s="0" t="n">
        <f aca="false">Q64+P65</f>
        <v>7</v>
      </c>
    </row>
    <row r="66" customFormat="false" ht="15" hidden="false" customHeight="false" outlineLevel="0" collapsed="false">
      <c r="A66" s="0" t="str">
        <f aca="false">IF(OR(Drafts!A64="",Drafts!E64="Withdrawn",AND(Drafts!E64="Adopted",OR(Drafts!N64="Complete",Drafts!N64="Not needed"))),"",IFERROR(MATCH(Drafts!E64,StageList,0),99)*1000+64)</f>
        <v/>
      </c>
      <c r="C66" s="0" t="n">
        <f aca="false">IF(AND(Comments!B64='Policy card'!$C$3,Comments!N64="Open"),1,0)</f>
        <v>0</v>
      </c>
      <c r="D66" s="0" t="str">
        <f aca="false">IF(C66=1,E66,IF(P66=1,$E$2003+Q66,""))</f>
        <v/>
      </c>
      <c r="E66" s="0" t="n">
        <f aca="false">E65+C66</f>
        <v>0</v>
      </c>
      <c r="F66" s="0" t="n">
        <f aca="false">IF(AND('Deferred edits'!C64&lt;&gt;"",OR('Deferred edits'!C64='Policy card'!$C$3,'Deferred edits'!B64='Policy card'!$C$3)),1,0)</f>
        <v>0</v>
      </c>
      <c r="G66" s="0" t="str">
        <f aca="false">IF(F66=1,H66,"")</f>
        <v/>
      </c>
      <c r="H66" s="0" t="n">
        <f aca="false">H65+F66</f>
        <v>1</v>
      </c>
      <c r="I66" s="0" t="n">
        <f aca="false">IF('Deferred edits'!G64="Waiting",1,0)</f>
        <v>0</v>
      </c>
      <c r="J66" s="0" t="str">
        <f aca="false">IF(I66=1,K66,"")</f>
        <v/>
      </c>
      <c r="K66" s="0" t="n">
        <f aca="false">K65+I66</f>
        <v>5</v>
      </c>
      <c r="L66" s="0" t="n">
        <f aca="false">IF(AND(Versions!B64&lt;&gt;"",Versions!B64='Policy card'!$C$3),1,0)</f>
        <v>0</v>
      </c>
      <c r="M66" s="0" t="str">
        <f aca="false">IF(L66=1,N66,"")</f>
        <v/>
      </c>
      <c r="N66" s="0" t="n">
        <f aca="false">N65+L66</f>
        <v>2</v>
      </c>
      <c r="P66" s="0" t="n">
        <f aca="false">IF(AND(Comments!B64='Policy card'!$C$3,Comments!N64="Closed"),1,0)</f>
        <v>0</v>
      </c>
      <c r="Q66" s="0" t="n">
        <f aca="false">Q65+P66</f>
        <v>7</v>
      </c>
    </row>
    <row r="67" customFormat="false" ht="15" hidden="false" customHeight="false" outlineLevel="0" collapsed="false">
      <c r="A67" s="0" t="str">
        <f aca="false">IF(OR(Drafts!A65="",Drafts!E65="Withdrawn",AND(Drafts!E65="Adopted",OR(Drafts!N65="Complete",Drafts!N65="Not needed"))),"",IFERROR(MATCH(Drafts!E65,StageList,0),99)*1000+65)</f>
        <v/>
      </c>
      <c r="C67" s="0" t="n">
        <f aca="false">IF(AND(Comments!B65='Policy card'!$C$3,Comments!N65="Open"),1,0)</f>
        <v>0</v>
      </c>
      <c r="D67" s="0" t="str">
        <f aca="false">IF(C67=1,E67,IF(P67=1,$E$2003+Q67,""))</f>
        <v/>
      </c>
      <c r="E67" s="0" t="n">
        <f aca="false">E66+C67</f>
        <v>0</v>
      </c>
      <c r="F67" s="0" t="n">
        <f aca="false">IF(AND('Deferred edits'!C65&lt;&gt;"",OR('Deferred edits'!C65='Policy card'!$C$3,'Deferred edits'!B65='Policy card'!$C$3)),1,0)</f>
        <v>0</v>
      </c>
      <c r="G67" s="0" t="str">
        <f aca="false">IF(F67=1,H67,"")</f>
        <v/>
      </c>
      <c r="H67" s="0" t="n">
        <f aca="false">H66+F67</f>
        <v>1</v>
      </c>
      <c r="I67" s="0" t="n">
        <f aca="false">IF('Deferred edits'!G65="Waiting",1,0)</f>
        <v>0</v>
      </c>
      <c r="J67" s="0" t="str">
        <f aca="false">IF(I67=1,K67,"")</f>
        <v/>
      </c>
      <c r="K67" s="0" t="n">
        <f aca="false">K66+I67</f>
        <v>5</v>
      </c>
      <c r="L67" s="0" t="n">
        <f aca="false">IF(AND(Versions!B65&lt;&gt;"",Versions!B65='Policy card'!$C$3),1,0)</f>
        <v>0</v>
      </c>
      <c r="M67" s="0" t="str">
        <f aca="false">IF(L67=1,N67,"")</f>
        <v/>
      </c>
      <c r="N67" s="0" t="n">
        <f aca="false">N66+L67</f>
        <v>2</v>
      </c>
      <c r="P67" s="0" t="n">
        <f aca="false">IF(AND(Comments!B65='Policy card'!$C$3,Comments!N65="Closed"),1,0)</f>
        <v>0</v>
      </c>
      <c r="Q67" s="0" t="n">
        <f aca="false">Q66+P67</f>
        <v>7</v>
      </c>
    </row>
    <row r="68" customFormat="false" ht="15" hidden="false" customHeight="false" outlineLevel="0" collapsed="false">
      <c r="A68" s="0" t="str">
        <f aca="false">IF(OR(Drafts!A66="",Drafts!E66="Withdrawn",AND(Drafts!E66="Adopted",OR(Drafts!N66="Complete",Drafts!N66="Not needed"))),"",IFERROR(MATCH(Drafts!E66,StageList,0),99)*1000+66)</f>
        <v/>
      </c>
      <c r="C68" s="0" t="n">
        <f aca="false">IF(AND(Comments!B66='Policy card'!$C$3,Comments!N66="Open"),1,0)</f>
        <v>0</v>
      </c>
      <c r="D68" s="0" t="str">
        <f aca="false">IF(C68=1,E68,IF(P68=1,$E$2003+Q68,""))</f>
        <v/>
      </c>
      <c r="E68" s="0" t="n">
        <f aca="false">E67+C68</f>
        <v>0</v>
      </c>
      <c r="F68" s="0" t="n">
        <f aca="false">IF(AND('Deferred edits'!C66&lt;&gt;"",OR('Deferred edits'!C66='Policy card'!$C$3,'Deferred edits'!B66='Policy card'!$C$3)),1,0)</f>
        <v>0</v>
      </c>
      <c r="G68" s="0" t="str">
        <f aca="false">IF(F68=1,H68,"")</f>
        <v/>
      </c>
      <c r="H68" s="0" t="n">
        <f aca="false">H67+F68</f>
        <v>1</v>
      </c>
      <c r="I68" s="0" t="n">
        <f aca="false">IF('Deferred edits'!G66="Waiting",1,0)</f>
        <v>0</v>
      </c>
      <c r="J68" s="0" t="str">
        <f aca="false">IF(I68=1,K68,"")</f>
        <v/>
      </c>
      <c r="K68" s="0" t="n">
        <f aca="false">K67+I68</f>
        <v>5</v>
      </c>
      <c r="L68" s="0" t="n">
        <f aca="false">IF(AND(Versions!B66&lt;&gt;"",Versions!B66='Policy card'!$C$3),1,0)</f>
        <v>0</v>
      </c>
      <c r="M68" s="0" t="str">
        <f aca="false">IF(L68=1,N68,"")</f>
        <v/>
      </c>
      <c r="N68" s="0" t="n">
        <f aca="false">N67+L68</f>
        <v>2</v>
      </c>
      <c r="P68" s="0" t="n">
        <f aca="false">IF(AND(Comments!B66='Policy card'!$C$3,Comments!N66="Closed"),1,0)</f>
        <v>0</v>
      </c>
      <c r="Q68" s="0" t="n">
        <f aca="false">Q67+P68</f>
        <v>7</v>
      </c>
    </row>
    <row r="69" customFormat="false" ht="15" hidden="false" customHeight="false" outlineLevel="0" collapsed="false">
      <c r="A69" s="0" t="str">
        <f aca="false">IF(OR(Drafts!A67="",Drafts!E67="Withdrawn",AND(Drafts!E67="Adopted",OR(Drafts!N67="Complete",Drafts!N67="Not needed"))),"",IFERROR(MATCH(Drafts!E67,StageList,0),99)*1000+67)</f>
        <v/>
      </c>
      <c r="C69" s="0" t="n">
        <f aca="false">IF(AND(Comments!B67='Policy card'!$C$3,Comments!N67="Open"),1,0)</f>
        <v>0</v>
      </c>
      <c r="D69" s="0" t="str">
        <f aca="false">IF(C69=1,E69,IF(P69=1,$E$2003+Q69,""))</f>
        <v/>
      </c>
      <c r="E69" s="0" t="n">
        <f aca="false">E68+C69</f>
        <v>0</v>
      </c>
      <c r="F69" s="0" t="n">
        <f aca="false">IF(AND('Deferred edits'!C67&lt;&gt;"",OR('Deferred edits'!C67='Policy card'!$C$3,'Deferred edits'!B67='Policy card'!$C$3)),1,0)</f>
        <v>0</v>
      </c>
      <c r="G69" s="0" t="str">
        <f aca="false">IF(F69=1,H69,"")</f>
        <v/>
      </c>
      <c r="H69" s="0" t="n">
        <f aca="false">H68+F69</f>
        <v>1</v>
      </c>
      <c r="I69" s="0" t="n">
        <f aca="false">IF('Deferred edits'!G67="Waiting",1,0)</f>
        <v>0</v>
      </c>
      <c r="J69" s="0" t="str">
        <f aca="false">IF(I69=1,K69,"")</f>
        <v/>
      </c>
      <c r="K69" s="0" t="n">
        <f aca="false">K68+I69</f>
        <v>5</v>
      </c>
      <c r="L69" s="0" t="n">
        <f aca="false">IF(AND(Versions!B67&lt;&gt;"",Versions!B67='Policy card'!$C$3),1,0)</f>
        <v>0</v>
      </c>
      <c r="M69" s="0" t="str">
        <f aca="false">IF(L69=1,N69,"")</f>
        <v/>
      </c>
      <c r="N69" s="0" t="n">
        <f aca="false">N68+L69</f>
        <v>2</v>
      </c>
      <c r="P69" s="0" t="n">
        <f aca="false">IF(AND(Comments!B67='Policy card'!$C$3,Comments!N67="Closed"),1,0)</f>
        <v>0</v>
      </c>
      <c r="Q69" s="0" t="n">
        <f aca="false">Q68+P69</f>
        <v>7</v>
      </c>
    </row>
    <row r="70" customFormat="false" ht="15" hidden="false" customHeight="false" outlineLevel="0" collapsed="false">
      <c r="A70" s="0" t="str">
        <f aca="false">IF(OR(Drafts!A68="",Drafts!E68="Withdrawn",AND(Drafts!E68="Adopted",OR(Drafts!N68="Complete",Drafts!N68="Not needed"))),"",IFERROR(MATCH(Drafts!E68,StageList,0),99)*1000+68)</f>
        <v/>
      </c>
      <c r="C70" s="0" t="n">
        <f aca="false">IF(AND(Comments!B68='Policy card'!$C$3,Comments!N68="Open"),1,0)</f>
        <v>0</v>
      </c>
      <c r="D70" s="0" t="str">
        <f aca="false">IF(C70=1,E70,IF(P70=1,$E$2003+Q70,""))</f>
        <v/>
      </c>
      <c r="E70" s="0" t="n">
        <f aca="false">E69+C70</f>
        <v>0</v>
      </c>
      <c r="F70" s="0" t="n">
        <f aca="false">IF(AND('Deferred edits'!C68&lt;&gt;"",OR('Deferred edits'!C68='Policy card'!$C$3,'Deferred edits'!B68='Policy card'!$C$3)),1,0)</f>
        <v>0</v>
      </c>
      <c r="G70" s="0" t="str">
        <f aca="false">IF(F70=1,H70,"")</f>
        <v/>
      </c>
      <c r="H70" s="0" t="n">
        <f aca="false">H69+F70</f>
        <v>1</v>
      </c>
      <c r="I70" s="0" t="n">
        <f aca="false">IF('Deferred edits'!G68="Waiting",1,0)</f>
        <v>0</v>
      </c>
      <c r="J70" s="0" t="str">
        <f aca="false">IF(I70=1,K70,"")</f>
        <v/>
      </c>
      <c r="K70" s="0" t="n">
        <f aca="false">K69+I70</f>
        <v>5</v>
      </c>
      <c r="L70" s="0" t="n">
        <f aca="false">IF(AND(Versions!B68&lt;&gt;"",Versions!B68='Policy card'!$C$3),1,0)</f>
        <v>0</v>
      </c>
      <c r="M70" s="0" t="str">
        <f aca="false">IF(L70=1,N70,"")</f>
        <v/>
      </c>
      <c r="N70" s="0" t="n">
        <f aca="false">N69+L70</f>
        <v>2</v>
      </c>
      <c r="P70" s="0" t="n">
        <f aca="false">IF(AND(Comments!B68='Policy card'!$C$3,Comments!N68="Closed"),1,0)</f>
        <v>0</v>
      </c>
      <c r="Q70" s="0" t="n">
        <f aca="false">Q69+P70</f>
        <v>7</v>
      </c>
    </row>
    <row r="71" customFormat="false" ht="15" hidden="false" customHeight="false" outlineLevel="0" collapsed="false">
      <c r="A71" s="0" t="str">
        <f aca="false">IF(OR(Drafts!A69="",Drafts!E69="Withdrawn",AND(Drafts!E69="Adopted",OR(Drafts!N69="Complete",Drafts!N69="Not needed"))),"",IFERROR(MATCH(Drafts!E69,StageList,0),99)*1000+69)</f>
        <v/>
      </c>
      <c r="C71" s="0" t="n">
        <f aca="false">IF(AND(Comments!B69='Policy card'!$C$3,Comments!N69="Open"),1,0)</f>
        <v>0</v>
      </c>
      <c r="D71" s="0" t="str">
        <f aca="false">IF(C71=1,E71,IF(P71=1,$E$2003+Q71,""))</f>
        <v/>
      </c>
      <c r="E71" s="0" t="n">
        <f aca="false">E70+C71</f>
        <v>0</v>
      </c>
      <c r="F71" s="0" t="n">
        <f aca="false">IF(AND('Deferred edits'!C69&lt;&gt;"",OR('Deferred edits'!C69='Policy card'!$C$3,'Deferred edits'!B69='Policy card'!$C$3)),1,0)</f>
        <v>0</v>
      </c>
      <c r="G71" s="0" t="str">
        <f aca="false">IF(F71=1,H71,"")</f>
        <v/>
      </c>
      <c r="H71" s="0" t="n">
        <f aca="false">H70+F71</f>
        <v>1</v>
      </c>
      <c r="I71" s="0" t="n">
        <f aca="false">IF('Deferred edits'!G69="Waiting",1,0)</f>
        <v>0</v>
      </c>
      <c r="J71" s="0" t="str">
        <f aca="false">IF(I71=1,K71,"")</f>
        <v/>
      </c>
      <c r="K71" s="0" t="n">
        <f aca="false">K70+I71</f>
        <v>5</v>
      </c>
      <c r="L71" s="0" t="n">
        <f aca="false">IF(AND(Versions!B69&lt;&gt;"",Versions!B69='Policy card'!$C$3),1,0)</f>
        <v>0</v>
      </c>
      <c r="M71" s="0" t="str">
        <f aca="false">IF(L71=1,N71,"")</f>
        <v/>
      </c>
      <c r="N71" s="0" t="n">
        <f aca="false">N70+L71</f>
        <v>2</v>
      </c>
      <c r="P71" s="0" t="n">
        <f aca="false">IF(AND(Comments!B69='Policy card'!$C$3,Comments!N69="Closed"),1,0)</f>
        <v>0</v>
      </c>
      <c r="Q71" s="0" t="n">
        <f aca="false">Q70+P71</f>
        <v>7</v>
      </c>
    </row>
    <row r="72" customFormat="false" ht="15" hidden="false" customHeight="false" outlineLevel="0" collapsed="false">
      <c r="A72" s="0" t="str">
        <f aca="false">IF(OR(Drafts!A70="",Drafts!E70="Withdrawn",AND(Drafts!E70="Adopted",OR(Drafts!N70="Complete",Drafts!N70="Not needed"))),"",IFERROR(MATCH(Drafts!E70,StageList,0),99)*1000+70)</f>
        <v/>
      </c>
      <c r="C72" s="0" t="n">
        <f aca="false">IF(AND(Comments!B70='Policy card'!$C$3,Comments!N70="Open"),1,0)</f>
        <v>0</v>
      </c>
      <c r="D72" s="0" t="str">
        <f aca="false">IF(C72=1,E72,IF(P72=1,$E$2003+Q72,""))</f>
        <v/>
      </c>
      <c r="E72" s="0" t="n">
        <f aca="false">E71+C72</f>
        <v>0</v>
      </c>
      <c r="F72" s="0" t="n">
        <f aca="false">IF(AND('Deferred edits'!C70&lt;&gt;"",OR('Deferred edits'!C70='Policy card'!$C$3,'Deferred edits'!B70='Policy card'!$C$3)),1,0)</f>
        <v>0</v>
      </c>
      <c r="G72" s="0" t="str">
        <f aca="false">IF(F72=1,H72,"")</f>
        <v/>
      </c>
      <c r="H72" s="0" t="n">
        <f aca="false">H71+F72</f>
        <v>1</v>
      </c>
      <c r="I72" s="0" t="n">
        <f aca="false">IF('Deferred edits'!G70="Waiting",1,0)</f>
        <v>0</v>
      </c>
      <c r="J72" s="0" t="str">
        <f aca="false">IF(I72=1,K72,"")</f>
        <v/>
      </c>
      <c r="K72" s="0" t="n">
        <f aca="false">K71+I72</f>
        <v>5</v>
      </c>
      <c r="L72" s="0" t="n">
        <f aca="false">IF(AND(Versions!B70&lt;&gt;"",Versions!B70='Policy card'!$C$3),1,0)</f>
        <v>0</v>
      </c>
      <c r="M72" s="0" t="str">
        <f aca="false">IF(L72=1,N72,"")</f>
        <v/>
      </c>
      <c r="N72" s="0" t="n">
        <f aca="false">N71+L72</f>
        <v>2</v>
      </c>
      <c r="P72" s="0" t="n">
        <f aca="false">IF(AND(Comments!B70='Policy card'!$C$3,Comments!N70="Closed"),1,0)</f>
        <v>0</v>
      </c>
      <c r="Q72" s="0" t="n">
        <f aca="false">Q71+P72</f>
        <v>7</v>
      </c>
    </row>
    <row r="73" customFormat="false" ht="15" hidden="false" customHeight="false" outlineLevel="0" collapsed="false">
      <c r="A73" s="0" t="str">
        <f aca="false">IF(OR(Drafts!A71="",Drafts!E71="Withdrawn",AND(Drafts!E71="Adopted",OR(Drafts!N71="Complete",Drafts!N71="Not needed"))),"",IFERROR(MATCH(Drafts!E71,StageList,0),99)*1000+71)</f>
        <v/>
      </c>
      <c r="C73" s="0" t="n">
        <f aca="false">IF(AND(Comments!B71='Policy card'!$C$3,Comments!N71="Open"),1,0)</f>
        <v>0</v>
      </c>
      <c r="D73" s="0" t="str">
        <f aca="false">IF(C73=1,E73,IF(P73=1,$E$2003+Q73,""))</f>
        <v/>
      </c>
      <c r="E73" s="0" t="n">
        <f aca="false">E72+C73</f>
        <v>0</v>
      </c>
      <c r="F73" s="0" t="n">
        <f aca="false">IF(AND('Deferred edits'!C71&lt;&gt;"",OR('Deferred edits'!C71='Policy card'!$C$3,'Deferred edits'!B71='Policy card'!$C$3)),1,0)</f>
        <v>0</v>
      </c>
      <c r="G73" s="0" t="str">
        <f aca="false">IF(F73=1,H73,"")</f>
        <v/>
      </c>
      <c r="H73" s="0" t="n">
        <f aca="false">H72+F73</f>
        <v>1</v>
      </c>
      <c r="I73" s="0" t="n">
        <f aca="false">IF('Deferred edits'!G71="Waiting",1,0)</f>
        <v>0</v>
      </c>
      <c r="J73" s="0" t="str">
        <f aca="false">IF(I73=1,K73,"")</f>
        <v/>
      </c>
      <c r="K73" s="0" t="n">
        <f aca="false">K72+I73</f>
        <v>5</v>
      </c>
      <c r="L73" s="0" t="n">
        <f aca="false">IF(AND(Versions!B71&lt;&gt;"",Versions!B71='Policy card'!$C$3),1,0)</f>
        <v>0</v>
      </c>
      <c r="M73" s="0" t="str">
        <f aca="false">IF(L73=1,N73,"")</f>
        <v/>
      </c>
      <c r="N73" s="0" t="n">
        <f aca="false">N72+L73</f>
        <v>2</v>
      </c>
      <c r="P73" s="0" t="n">
        <f aca="false">IF(AND(Comments!B71='Policy card'!$C$3,Comments!N71="Closed"),1,0)</f>
        <v>0</v>
      </c>
      <c r="Q73" s="0" t="n">
        <f aca="false">Q72+P73</f>
        <v>7</v>
      </c>
    </row>
    <row r="74" customFormat="false" ht="15" hidden="false" customHeight="false" outlineLevel="0" collapsed="false">
      <c r="A74" s="0" t="str">
        <f aca="false">IF(OR(Drafts!A72="",Drafts!E72="Withdrawn",AND(Drafts!E72="Adopted",OR(Drafts!N72="Complete",Drafts!N72="Not needed"))),"",IFERROR(MATCH(Drafts!E72,StageList,0),99)*1000+72)</f>
        <v/>
      </c>
      <c r="C74" s="0" t="n">
        <f aca="false">IF(AND(Comments!B72='Policy card'!$C$3,Comments!N72="Open"),1,0)</f>
        <v>0</v>
      </c>
      <c r="D74" s="0" t="str">
        <f aca="false">IF(C74=1,E74,IF(P74=1,$E$2003+Q74,""))</f>
        <v/>
      </c>
      <c r="E74" s="0" t="n">
        <f aca="false">E73+C74</f>
        <v>0</v>
      </c>
      <c r="F74" s="0" t="n">
        <f aca="false">IF(AND('Deferred edits'!C72&lt;&gt;"",OR('Deferred edits'!C72='Policy card'!$C$3,'Deferred edits'!B72='Policy card'!$C$3)),1,0)</f>
        <v>0</v>
      </c>
      <c r="G74" s="0" t="str">
        <f aca="false">IF(F74=1,H74,"")</f>
        <v/>
      </c>
      <c r="H74" s="0" t="n">
        <f aca="false">H73+F74</f>
        <v>1</v>
      </c>
      <c r="I74" s="0" t="n">
        <f aca="false">IF('Deferred edits'!G72="Waiting",1,0)</f>
        <v>0</v>
      </c>
      <c r="J74" s="0" t="str">
        <f aca="false">IF(I74=1,K74,"")</f>
        <v/>
      </c>
      <c r="K74" s="0" t="n">
        <f aca="false">K73+I74</f>
        <v>5</v>
      </c>
      <c r="L74" s="0" t="n">
        <f aca="false">IF(AND(Versions!B72&lt;&gt;"",Versions!B72='Policy card'!$C$3),1,0)</f>
        <v>0</v>
      </c>
      <c r="M74" s="0" t="str">
        <f aca="false">IF(L74=1,N74,"")</f>
        <v/>
      </c>
      <c r="N74" s="0" t="n">
        <f aca="false">N73+L74</f>
        <v>2</v>
      </c>
      <c r="P74" s="0" t="n">
        <f aca="false">IF(AND(Comments!B72='Policy card'!$C$3,Comments!N72="Closed"),1,0)</f>
        <v>0</v>
      </c>
      <c r="Q74" s="0" t="n">
        <f aca="false">Q73+P74</f>
        <v>7</v>
      </c>
    </row>
    <row r="75" customFormat="false" ht="15" hidden="false" customHeight="false" outlineLevel="0" collapsed="false">
      <c r="A75" s="0" t="str">
        <f aca="false">IF(OR(Drafts!A73="",Drafts!E73="Withdrawn",AND(Drafts!E73="Adopted",OR(Drafts!N73="Complete",Drafts!N73="Not needed"))),"",IFERROR(MATCH(Drafts!E73,StageList,0),99)*1000+73)</f>
        <v/>
      </c>
      <c r="C75" s="0" t="n">
        <f aca="false">IF(AND(Comments!B73='Policy card'!$C$3,Comments!N73="Open"),1,0)</f>
        <v>0</v>
      </c>
      <c r="D75" s="0" t="str">
        <f aca="false">IF(C75=1,E75,IF(P75=1,$E$2003+Q75,""))</f>
        <v/>
      </c>
      <c r="E75" s="0" t="n">
        <f aca="false">E74+C75</f>
        <v>0</v>
      </c>
      <c r="F75" s="0" t="n">
        <f aca="false">IF(AND('Deferred edits'!C73&lt;&gt;"",OR('Deferred edits'!C73='Policy card'!$C$3,'Deferred edits'!B73='Policy card'!$C$3)),1,0)</f>
        <v>0</v>
      </c>
      <c r="G75" s="0" t="str">
        <f aca="false">IF(F75=1,H75,"")</f>
        <v/>
      </c>
      <c r="H75" s="0" t="n">
        <f aca="false">H74+F75</f>
        <v>1</v>
      </c>
      <c r="I75" s="0" t="n">
        <f aca="false">IF('Deferred edits'!G73="Waiting",1,0)</f>
        <v>0</v>
      </c>
      <c r="J75" s="0" t="str">
        <f aca="false">IF(I75=1,K75,"")</f>
        <v/>
      </c>
      <c r="K75" s="0" t="n">
        <f aca="false">K74+I75</f>
        <v>5</v>
      </c>
      <c r="L75" s="0" t="n">
        <f aca="false">IF(AND(Versions!B73&lt;&gt;"",Versions!B73='Policy card'!$C$3),1,0)</f>
        <v>0</v>
      </c>
      <c r="M75" s="0" t="str">
        <f aca="false">IF(L75=1,N75,"")</f>
        <v/>
      </c>
      <c r="N75" s="0" t="n">
        <f aca="false">N74+L75</f>
        <v>2</v>
      </c>
      <c r="P75" s="0" t="n">
        <f aca="false">IF(AND(Comments!B73='Policy card'!$C$3,Comments!N73="Closed"),1,0)</f>
        <v>0</v>
      </c>
      <c r="Q75" s="0" t="n">
        <f aca="false">Q74+P75</f>
        <v>7</v>
      </c>
    </row>
    <row r="76" customFormat="false" ht="15" hidden="false" customHeight="false" outlineLevel="0" collapsed="false">
      <c r="A76" s="0" t="str">
        <f aca="false">IF(OR(Drafts!A74="",Drafts!E74="Withdrawn",AND(Drafts!E74="Adopted",OR(Drafts!N74="Complete",Drafts!N74="Not needed"))),"",IFERROR(MATCH(Drafts!E74,StageList,0),99)*1000+74)</f>
        <v/>
      </c>
      <c r="C76" s="0" t="n">
        <f aca="false">IF(AND(Comments!B74='Policy card'!$C$3,Comments!N74="Open"),1,0)</f>
        <v>0</v>
      </c>
      <c r="D76" s="0" t="str">
        <f aca="false">IF(C76=1,E76,IF(P76=1,$E$2003+Q76,""))</f>
        <v/>
      </c>
      <c r="E76" s="0" t="n">
        <f aca="false">E75+C76</f>
        <v>0</v>
      </c>
      <c r="F76" s="0" t="n">
        <f aca="false">IF(AND('Deferred edits'!C74&lt;&gt;"",OR('Deferred edits'!C74='Policy card'!$C$3,'Deferred edits'!B74='Policy card'!$C$3)),1,0)</f>
        <v>0</v>
      </c>
      <c r="G76" s="0" t="str">
        <f aca="false">IF(F76=1,H76,"")</f>
        <v/>
      </c>
      <c r="H76" s="0" t="n">
        <f aca="false">H75+F76</f>
        <v>1</v>
      </c>
      <c r="I76" s="0" t="n">
        <f aca="false">IF('Deferred edits'!G74="Waiting",1,0)</f>
        <v>0</v>
      </c>
      <c r="J76" s="0" t="str">
        <f aca="false">IF(I76=1,K76,"")</f>
        <v/>
      </c>
      <c r="K76" s="0" t="n">
        <f aca="false">K75+I76</f>
        <v>5</v>
      </c>
      <c r="L76" s="0" t="n">
        <f aca="false">IF(AND(Versions!B74&lt;&gt;"",Versions!B74='Policy card'!$C$3),1,0)</f>
        <v>0</v>
      </c>
      <c r="M76" s="0" t="str">
        <f aca="false">IF(L76=1,N76,"")</f>
        <v/>
      </c>
      <c r="N76" s="0" t="n">
        <f aca="false">N75+L76</f>
        <v>2</v>
      </c>
      <c r="P76" s="0" t="n">
        <f aca="false">IF(AND(Comments!B74='Policy card'!$C$3,Comments!N74="Closed"),1,0)</f>
        <v>0</v>
      </c>
      <c r="Q76" s="0" t="n">
        <f aca="false">Q75+P76</f>
        <v>7</v>
      </c>
    </row>
    <row r="77" customFormat="false" ht="15" hidden="false" customHeight="false" outlineLevel="0" collapsed="false">
      <c r="A77" s="0" t="str">
        <f aca="false">IF(OR(Drafts!A75="",Drafts!E75="Withdrawn",AND(Drafts!E75="Adopted",OR(Drafts!N75="Complete",Drafts!N75="Not needed"))),"",IFERROR(MATCH(Drafts!E75,StageList,0),99)*1000+75)</f>
        <v/>
      </c>
      <c r="C77" s="0" t="n">
        <f aca="false">IF(AND(Comments!B75='Policy card'!$C$3,Comments!N75="Open"),1,0)</f>
        <v>0</v>
      </c>
      <c r="D77" s="0" t="str">
        <f aca="false">IF(C77=1,E77,IF(P77=1,$E$2003+Q77,""))</f>
        <v/>
      </c>
      <c r="E77" s="0" t="n">
        <f aca="false">E76+C77</f>
        <v>0</v>
      </c>
      <c r="F77" s="0" t="n">
        <f aca="false">IF(AND('Deferred edits'!C75&lt;&gt;"",OR('Deferred edits'!C75='Policy card'!$C$3,'Deferred edits'!B75='Policy card'!$C$3)),1,0)</f>
        <v>0</v>
      </c>
      <c r="G77" s="0" t="str">
        <f aca="false">IF(F77=1,H77,"")</f>
        <v/>
      </c>
      <c r="H77" s="0" t="n">
        <f aca="false">H76+F77</f>
        <v>1</v>
      </c>
      <c r="I77" s="0" t="n">
        <f aca="false">IF('Deferred edits'!G75="Waiting",1,0)</f>
        <v>0</v>
      </c>
      <c r="J77" s="0" t="str">
        <f aca="false">IF(I77=1,K77,"")</f>
        <v/>
      </c>
      <c r="K77" s="0" t="n">
        <f aca="false">K76+I77</f>
        <v>5</v>
      </c>
      <c r="L77" s="0" t="n">
        <f aca="false">IF(AND(Versions!B75&lt;&gt;"",Versions!B75='Policy card'!$C$3),1,0)</f>
        <v>0</v>
      </c>
      <c r="M77" s="0" t="str">
        <f aca="false">IF(L77=1,N77,"")</f>
        <v/>
      </c>
      <c r="N77" s="0" t="n">
        <f aca="false">N76+L77</f>
        <v>2</v>
      </c>
      <c r="P77" s="0" t="n">
        <f aca="false">IF(AND(Comments!B75='Policy card'!$C$3,Comments!N75="Closed"),1,0)</f>
        <v>0</v>
      </c>
      <c r="Q77" s="0" t="n">
        <f aca="false">Q76+P77</f>
        <v>7</v>
      </c>
    </row>
    <row r="78" customFormat="false" ht="15" hidden="false" customHeight="false" outlineLevel="0" collapsed="false">
      <c r="A78" s="0" t="str">
        <f aca="false">IF(OR(Drafts!A76="",Drafts!E76="Withdrawn",AND(Drafts!E76="Adopted",OR(Drafts!N76="Complete",Drafts!N76="Not needed"))),"",IFERROR(MATCH(Drafts!E76,StageList,0),99)*1000+76)</f>
        <v/>
      </c>
      <c r="C78" s="0" t="n">
        <f aca="false">IF(AND(Comments!B76='Policy card'!$C$3,Comments!N76="Open"),1,0)</f>
        <v>0</v>
      </c>
      <c r="D78" s="0" t="str">
        <f aca="false">IF(C78=1,E78,IF(P78=1,$E$2003+Q78,""))</f>
        <v/>
      </c>
      <c r="E78" s="0" t="n">
        <f aca="false">E77+C78</f>
        <v>0</v>
      </c>
      <c r="F78" s="0" t="n">
        <f aca="false">IF(AND('Deferred edits'!C76&lt;&gt;"",OR('Deferred edits'!C76='Policy card'!$C$3,'Deferred edits'!B76='Policy card'!$C$3)),1,0)</f>
        <v>0</v>
      </c>
      <c r="G78" s="0" t="str">
        <f aca="false">IF(F78=1,H78,"")</f>
        <v/>
      </c>
      <c r="H78" s="0" t="n">
        <f aca="false">H77+F78</f>
        <v>1</v>
      </c>
      <c r="I78" s="0" t="n">
        <f aca="false">IF('Deferred edits'!G76="Waiting",1,0)</f>
        <v>0</v>
      </c>
      <c r="J78" s="0" t="str">
        <f aca="false">IF(I78=1,K78,"")</f>
        <v/>
      </c>
      <c r="K78" s="0" t="n">
        <f aca="false">K77+I78</f>
        <v>5</v>
      </c>
      <c r="L78" s="0" t="n">
        <f aca="false">IF(AND(Versions!B76&lt;&gt;"",Versions!B76='Policy card'!$C$3),1,0)</f>
        <v>0</v>
      </c>
      <c r="M78" s="0" t="str">
        <f aca="false">IF(L78=1,N78,"")</f>
        <v/>
      </c>
      <c r="N78" s="0" t="n">
        <f aca="false">N77+L78</f>
        <v>2</v>
      </c>
      <c r="P78" s="0" t="n">
        <f aca="false">IF(AND(Comments!B76='Policy card'!$C$3,Comments!N76="Closed"),1,0)</f>
        <v>0</v>
      </c>
      <c r="Q78" s="0" t="n">
        <f aca="false">Q77+P78</f>
        <v>7</v>
      </c>
    </row>
    <row r="79" customFormat="false" ht="15" hidden="false" customHeight="false" outlineLevel="0" collapsed="false">
      <c r="A79" s="0" t="str">
        <f aca="false">IF(OR(Drafts!A77="",Drafts!E77="Withdrawn",AND(Drafts!E77="Adopted",OR(Drafts!N77="Complete",Drafts!N77="Not needed"))),"",IFERROR(MATCH(Drafts!E77,StageList,0),99)*1000+77)</f>
        <v/>
      </c>
      <c r="C79" s="0" t="n">
        <f aca="false">IF(AND(Comments!B77='Policy card'!$C$3,Comments!N77="Open"),1,0)</f>
        <v>0</v>
      </c>
      <c r="D79" s="0" t="str">
        <f aca="false">IF(C79=1,E79,IF(P79=1,$E$2003+Q79,""))</f>
        <v/>
      </c>
      <c r="E79" s="0" t="n">
        <f aca="false">E78+C79</f>
        <v>0</v>
      </c>
      <c r="F79" s="0" t="n">
        <f aca="false">IF(AND('Deferred edits'!C77&lt;&gt;"",OR('Deferred edits'!C77='Policy card'!$C$3,'Deferred edits'!B77='Policy card'!$C$3)),1,0)</f>
        <v>0</v>
      </c>
      <c r="G79" s="0" t="str">
        <f aca="false">IF(F79=1,H79,"")</f>
        <v/>
      </c>
      <c r="H79" s="0" t="n">
        <f aca="false">H78+F79</f>
        <v>1</v>
      </c>
      <c r="I79" s="0" t="n">
        <f aca="false">IF('Deferred edits'!G77="Waiting",1,0)</f>
        <v>0</v>
      </c>
      <c r="J79" s="0" t="str">
        <f aca="false">IF(I79=1,K79,"")</f>
        <v/>
      </c>
      <c r="K79" s="0" t="n">
        <f aca="false">K78+I79</f>
        <v>5</v>
      </c>
      <c r="L79" s="0" t="n">
        <f aca="false">IF(AND(Versions!B77&lt;&gt;"",Versions!B77='Policy card'!$C$3),1,0)</f>
        <v>0</v>
      </c>
      <c r="M79" s="0" t="str">
        <f aca="false">IF(L79=1,N79,"")</f>
        <v/>
      </c>
      <c r="N79" s="0" t="n">
        <f aca="false">N78+L79</f>
        <v>2</v>
      </c>
      <c r="P79" s="0" t="n">
        <f aca="false">IF(AND(Comments!B77='Policy card'!$C$3,Comments!N77="Closed"),1,0)</f>
        <v>0</v>
      </c>
      <c r="Q79" s="0" t="n">
        <f aca="false">Q78+P79</f>
        <v>7</v>
      </c>
    </row>
    <row r="80" customFormat="false" ht="15" hidden="false" customHeight="false" outlineLevel="0" collapsed="false">
      <c r="A80" s="0" t="str">
        <f aca="false">IF(OR(Drafts!A78="",Drafts!E78="Withdrawn",AND(Drafts!E78="Adopted",OR(Drafts!N78="Complete",Drafts!N78="Not needed"))),"",IFERROR(MATCH(Drafts!E78,StageList,0),99)*1000+78)</f>
        <v/>
      </c>
      <c r="C80" s="0" t="n">
        <f aca="false">IF(AND(Comments!B78='Policy card'!$C$3,Comments!N78="Open"),1,0)</f>
        <v>0</v>
      </c>
      <c r="D80" s="0" t="str">
        <f aca="false">IF(C80=1,E80,IF(P80=1,$E$2003+Q80,""))</f>
        <v/>
      </c>
      <c r="E80" s="0" t="n">
        <f aca="false">E79+C80</f>
        <v>0</v>
      </c>
      <c r="F80" s="0" t="n">
        <f aca="false">IF(AND('Deferred edits'!C78&lt;&gt;"",OR('Deferred edits'!C78='Policy card'!$C$3,'Deferred edits'!B78='Policy card'!$C$3)),1,0)</f>
        <v>0</v>
      </c>
      <c r="G80" s="0" t="str">
        <f aca="false">IF(F80=1,H80,"")</f>
        <v/>
      </c>
      <c r="H80" s="0" t="n">
        <f aca="false">H79+F80</f>
        <v>1</v>
      </c>
      <c r="I80" s="0" t="n">
        <f aca="false">IF('Deferred edits'!G78="Waiting",1,0)</f>
        <v>0</v>
      </c>
      <c r="J80" s="0" t="str">
        <f aca="false">IF(I80=1,K80,"")</f>
        <v/>
      </c>
      <c r="K80" s="0" t="n">
        <f aca="false">K79+I80</f>
        <v>5</v>
      </c>
      <c r="L80" s="0" t="n">
        <f aca="false">IF(AND(Versions!B78&lt;&gt;"",Versions!B78='Policy card'!$C$3),1,0)</f>
        <v>0</v>
      </c>
      <c r="M80" s="0" t="str">
        <f aca="false">IF(L80=1,N80,"")</f>
        <v/>
      </c>
      <c r="N80" s="0" t="n">
        <f aca="false">N79+L80</f>
        <v>2</v>
      </c>
      <c r="P80" s="0" t="n">
        <f aca="false">IF(AND(Comments!B78='Policy card'!$C$3,Comments!N78="Closed"),1,0)</f>
        <v>0</v>
      </c>
      <c r="Q80" s="0" t="n">
        <f aca="false">Q79+P80</f>
        <v>7</v>
      </c>
    </row>
    <row r="81" customFormat="false" ht="15" hidden="false" customHeight="false" outlineLevel="0" collapsed="false">
      <c r="A81" s="0" t="str">
        <f aca="false">IF(OR(Drafts!A79="",Drafts!E79="Withdrawn",AND(Drafts!E79="Adopted",OR(Drafts!N79="Complete",Drafts!N79="Not needed"))),"",IFERROR(MATCH(Drafts!E79,StageList,0),99)*1000+79)</f>
        <v/>
      </c>
      <c r="C81" s="0" t="n">
        <f aca="false">IF(AND(Comments!B79='Policy card'!$C$3,Comments!N79="Open"),1,0)</f>
        <v>0</v>
      </c>
      <c r="D81" s="0" t="str">
        <f aca="false">IF(C81=1,E81,IF(P81=1,$E$2003+Q81,""))</f>
        <v/>
      </c>
      <c r="E81" s="0" t="n">
        <f aca="false">E80+C81</f>
        <v>0</v>
      </c>
      <c r="F81" s="0" t="n">
        <f aca="false">IF(AND('Deferred edits'!C79&lt;&gt;"",OR('Deferred edits'!C79='Policy card'!$C$3,'Deferred edits'!B79='Policy card'!$C$3)),1,0)</f>
        <v>0</v>
      </c>
      <c r="G81" s="0" t="str">
        <f aca="false">IF(F81=1,H81,"")</f>
        <v/>
      </c>
      <c r="H81" s="0" t="n">
        <f aca="false">H80+F81</f>
        <v>1</v>
      </c>
      <c r="I81" s="0" t="n">
        <f aca="false">IF('Deferred edits'!G79="Waiting",1,0)</f>
        <v>0</v>
      </c>
      <c r="J81" s="0" t="str">
        <f aca="false">IF(I81=1,K81,"")</f>
        <v/>
      </c>
      <c r="K81" s="0" t="n">
        <f aca="false">K80+I81</f>
        <v>5</v>
      </c>
      <c r="L81" s="0" t="n">
        <f aca="false">IF(AND(Versions!B79&lt;&gt;"",Versions!B79='Policy card'!$C$3),1,0)</f>
        <v>0</v>
      </c>
      <c r="M81" s="0" t="str">
        <f aca="false">IF(L81=1,N81,"")</f>
        <v/>
      </c>
      <c r="N81" s="0" t="n">
        <f aca="false">N80+L81</f>
        <v>2</v>
      </c>
      <c r="P81" s="0" t="n">
        <f aca="false">IF(AND(Comments!B79='Policy card'!$C$3,Comments!N79="Closed"),1,0)</f>
        <v>0</v>
      </c>
      <c r="Q81" s="0" t="n">
        <f aca="false">Q80+P81</f>
        <v>7</v>
      </c>
    </row>
    <row r="82" customFormat="false" ht="15" hidden="false" customHeight="false" outlineLevel="0" collapsed="false">
      <c r="A82" s="0" t="str">
        <f aca="false">IF(OR(Drafts!A80="",Drafts!E80="Withdrawn",AND(Drafts!E80="Adopted",OR(Drafts!N80="Complete",Drafts!N80="Not needed"))),"",IFERROR(MATCH(Drafts!E80,StageList,0),99)*1000+80)</f>
        <v/>
      </c>
      <c r="C82" s="0" t="n">
        <f aca="false">IF(AND(Comments!B80='Policy card'!$C$3,Comments!N80="Open"),1,0)</f>
        <v>0</v>
      </c>
      <c r="D82" s="0" t="str">
        <f aca="false">IF(C82=1,E82,IF(P82=1,$E$2003+Q82,""))</f>
        <v/>
      </c>
      <c r="E82" s="0" t="n">
        <f aca="false">E81+C82</f>
        <v>0</v>
      </c>
      <c r="F82" s="0" t="n">
        <f aca="false">IF(AND('Deferred edits'!C80&lt;&gt;"",OR('Deferred edits'!C80='Policy card'!$C$3,'Deferred edits'!B80='Policy card'!$C$3)),1,0)</f>
        <v>0</v>
      </c>
      <c r="G82" s="0" t="str">
        <f aca="false">IF(F82=1,H82,"")</f>
        <v/>
      </c>
      <c r="H82" s="0" t="n">
        <f aca="false">H81+F82</f>
        <v>1</v>
      </c>
      <c r="I82" s="0" t="n">
        <f aca="false">IF('Deferred edits'!G80="Waiting",1,0)</f>
        <v>0</v>
      </c>
      <c r="J82" s="0" t="str">
        <f aca="false">IF(I82=1,K82,"")</f>
        <v/>
      </c>
      <c r="K82" s="0" t="n">
        <f aca="false">K81+I82</f>
        <v>5</v>
      </c>
      <c r="L82" s="0" t="n">
        <f aca="false">IF(AND(Versions!B80&lt;&gt;"",Versions!B80='Policy card'!$C$3),1,0)</f>
        <v>0</v>
      </c>
      <c r="M82" s="0" t="str">
        <f aca="false">IF(L82=1,N82,"")</f>
        <v/>
      </c>
      <c r="N82" s="0" t="n">
        <f aca="false">N81+L82</f>
        <v>2</v>
      </c>
      <c r="P82" s="0" t="n">
        <f aca="false">IF(AND(Comments!B80='Policy card'!$C$3,Comments!N80="Closed"),1,0)</f>
        <v>0</v>
      </c>
      <c r="Q82" s="0" t="n">
        <f aca="false">Q81+P82</f>
        <v>7</v>
      </c>
    </row>
    <row r="83" customFormat="false" ht="15" hidden="false" customHeight="false" outlineLevel="0" collapsed="false">
      <c r="A83" s="0" t="str">
        <f aca="false">IF(OR(Drafts!A81="",Drafts!E81="Withdrawn",AND(Drafts!E81="Adopted",OR(Drafts!N81="Complete",Drafts!N81="Not needed"))),"",IFERROR(MATCH(Drafts!E81,StageList,0),99)*1000+81)</f>
        <v/>
      </c>
      <c r="C83" s="0" t="n">
        <f aca="false">IF(AND(Comments!B81='Policy card'!$C$3,Comments!N81="Open"),1,0)</f>
        <v>0</v>
      </c>
      <c r="D83" s="0" t="str">
        <f aca="false">IF(C83=1,E83,IF(P83=1,$E$2003+Q83,""))</f>
        <v/>
      </c>
      <c r="E83" s="0" t="n">
        <f aca="false">E82+C83</f>
        <v>0</v>
      </c>
      <c r="F83" s="0" t="n">
        <f aca="false">IF(AND('Deferred edits'!C81&lt;&gt;"",OR('Deferred edits'!C81='Policy card'!$C$3,'Deferred edits'!B81='Policy card'!$C$3)),1,0)</f>
        <v>0</v>
      </c>
      <c r="G83" s="0" t="str">
        <f aca="false">IF(F83=1,H83,"")</f>
        <v/>
      </c>
      <c r="H83" s="0" t="n">
        <f aca="false">H82+F83</f>
        <v>1</v>
      </c>
      <c r="I83" s="0" t="n">
        <f aca="false">IF('Deferred edits'!G81="Waiting",1,0)</f>
        <v>0</v>
      </c>
      <c r="J83" s="0" t="str">
        <f aca="false">IF(I83=1,K83,"")</f>
        <v/>
      </c>
      <c r="K83" s="0" t="n">
        <f aca="false">K82+I83</f>
        <v>5</v>
      </c>
      <c r="L83" s="0" t="n">
        <f aca="false">IF(AND(Versions!B81&lt;&gt;"",Versions!B81='Policy card'!$C$3),1,0)</f>
        <v>0</v>
      </c>
      <c r="M83" s="0" t="str">
        <f aca="false">IF(L83=1,N83,"")</f>
        <v/>
      </c>
      <c r="N83" s="0" t="n">
        <f aca="false">N82+L83</f>
        <v>2</v>
      </c>
      <c r="P83" s="0" t="n">
        <f aca="false">IF(AND(Comments!B81='Policy card'!$C$3,Comments!N81="Closed"),1,0)</f>
        <v>0</v>
      </c>
      <c r="Q83" s="0" t="n">
        <f aca="false">Q82+P83</f>
        <v>7</v>
      </c>
    </row>
    <row r="84" customFormat="false" ht="15" hidden="false" customHeight="false" outlineLevel="0" collapsed="false">
      <c r="A84" s="0" t="str">
        <f aca="false">IF(OR(Drafts!A82="",Drafts!E82="Withdrawn",AND(Drafts!E82="Adopted",OR(Drafts!N82="Complete",Drafts!N82="Not needed"))),"",IFERROR(MATCH(Drafts!E82,StageList,0),99)*1000+82)</f>
        <v/>
      </c>
      <c r="C84" s="0" t="n">
        <f aca="false">IF(AND(Comments!B82='Policy card'!$C$3,Comments!N82="Open"),1,0)</f>
        <v>0</v>
      </c>
      <c r="D84" s="0" t="str">
        <f aca="false">IF(C84=1,E84,IF(P84=1,$E$2003+Q84,""))</f>
        <v/>
      </c>
      <c r="E84" s="0" t="n">
        <f aca="false">E83+C84</f>
        <v>0</v>
      </c>
      <c r="F84" s="0" t="n">
        <f aca="false">IF(AND('Deferred edits'!C82&lt;&gt;"",OR('Deferred edits'!C82='Policy card'!$C$3,'Deferred edits'!B82='Policy card'!$C$3)),1,0)</f>
        <v>0</v>
      </c>
      <c r="G84" s="0" t="str">
        <f aca="false">IF(F84=1,H84,"")</f>
        <v/>
      </c>
      <c r="H84" s="0" t="n">
        <f aca="false">H83+F84</f>
        <v>1</v>
      </c>
      <c r="I84" s="0" t="n">
        <f aca="false">IF('Deferred edits'!G82="Waiting",1,0)</f>
        <v>0</v>
      </c>
      <c r="J84" s="0" t="str">
        <f aca="false">IF(I84=1,K84,"")</f>
        <v/>
      </c>
      <c r="K84" s="0" t="n">
        <f aca="false">K83+I84</f>
        <v>5</v>
      </c>
      <c r="L84" s="0" t="n">
        <f aca="false">IF(AND(Versions!B82&lt;&gt;"",Versions!B82='Policy card'!$C$3),1,0)</f>
        <v>0</v>
      </c>
      <c r="M84" s="0" t="str">
        <f aca="false">IF(L84=1,N84,"")</f>
        <v/>
      </c>
      <c r="N84" s="0" t="n">
        <f aca="false">N83+L84</f>
        <v>2</v>
      </c>
      <c r="P84" s="0" t="n">
        <f aca="false">IF(AND(Comments!B82='Policy card'!$C$3,Comments!N82="Closed"),1,0)</f>
        <v>0</v>
      </c>
      <c r="Q84" s="0" t="n">
        <f aca="false">Q83+P84</f>
        <v>7</v>
      </c>
    </row>
    <row r="85" customFormat="false" ht="15" hidden="false" customHeight="false" outlineLevel="0" collapsed="false">
      <c r="A85" s="0" t="str">
        <f aca="false">IF(OR(Drafts!A83="",Drafts!E83="Withdrawn",AND(Drafts!E83="Adopted",OR(Drafts!N83="Complete",Drafts!N83="Not needed"))),"",IFERROR(MATCH(Drafts!E83,StageList,0),99)*1000+83)</f>
        <v/>
      </c>
      <c r="C85" s="0" t="n">
        <f aca="false">IF(AND(Comments!B83='Policy card'!$C$3,Comments!N83="Open"),1,0)</f>
        <v>0</v>
      </c>
      <c r="D85" s="0" t="str">
        <f aca="false">IF(C85=1,E85,IF(P85=1,$E$2003+Q85,""))</f>
        <v/>
      </c>
      <c r="E85" s="0" t="n">
        <f aca="false">E84+C85</f>
        <v>0</v>
      </c>
      <c r="F85" s="0" t="n">
        <f aca="false">IF(AND('Deferred edits'!C83&lt;&gt;"",OR('Deferred edits'!C83='Policy card'!$C$3,'Deferred edits'!B83='Policy card'!$C$3)),1,0)</f>
        <v>0</v>
      </c>
      <c r="G85" s="0" t="str">
        <f aca="false">IF(F85=1,H85,"")</f>
        <v/>
      </c>
      <c r="H85" s="0" t="n">
        <f aca="false">H84+F85</f>
        <v>1</v>
      </c>
      <c r="I85" s="0" t="n">
        <f aca="false">IF('Deferred edits'!G83="Waiting",1,0)</f>
        <v>0</v>
      </c>
      <c r="J85" s="0" t="str">
        <f aca="false">IF(I85=1,K85,"")</f>
        <v/>
      </c>
      <c r="K85" s="0" t="n">
        <f aca="false">K84+I85</f>
        <v>5</v>
      </c>
      <c r="L85" s="0" t="n">
        <f aca="false">IF(AND(Versions!B83&lt;&gt;"",Versions!B83='Policy card'!$C$3),1,0)</f>
        <v>0</v>
      </c>
      <c r="M85" s="0" t="str">
        <f aca="false">IF(L85=1,N85,"")</f>
        <v/>
      </c>
      <c r="N85" s="0" t="n">
        <f aca="false">N84+L85</f>
        <v>2</v>
      </c>
      <c r="P85" s="0" t="n">
        <f aca="false">IF(AND(Comments!B83='Policy card'!$C$3,Comments!N83="Closed"),1,0)</f>
        <v>0</v>
      </c>
      <c r="Q85" s="0" t="n">
        <f aca="false">Q84+P85</f>
        <v>7</v>
      </c>
    </row>
    <row r="86" customFormat="false" ht="15" hidden="false" customHeight="false" outlineLevel="0" collapsed="false">
      <c r="A86" s="0" t="str">
        <f aca="false">IF(OR(Drafts!A84="",Drafts!E84="Withdrawn",AND(Drafts!E84="Adopted",OR(Drafts!N84="Complete",Drafts!N84="Not needed"))),"",IFERROR(MATCH(Drafts!E84,StageList,0),99)*1000+84)</f>
        <v/>
      </c>
      <c r="C86" s="0" t="n">
        <f aca="false">IF(AND(Comments!B84='Policy card'!$C$3,Comments!N84="Open"),1,0)</f>
        <v>0</v>
      </c>
      <c r="D86" s="0" t="str">
        <f aca="false">IF(C86=1,E86,IF(P86=1,$E$2003+Q86,""))</f>
        <v/>
      </c>
      <c r="E86" s="0" t="n">
        <f aca="false">E85+C86</f>
        <v>0</v>
      </c>
      <c r="F86" s="0" t="n">
        <f aca="false">IF(AND('Deferred edits'!C84&lt;&gt;"",OR('Deferred edits'!C84='Policy card'!$C$3,'Deferred edits'!B84='Policy card'!$C$3)),1,0)</f>
        <v>0</v>
      </c>
      <c r="G86" s="0" t="str">
        <f aca="false">IF(F86=1,H86,"")</f>
        <v/>
      </c>
      <c r="H86" s="0" t="n">
        <f aca="false">H85+F86</f>
        <v>1</v>
      </c>
      <c r="I86" s="0" t="n">
        <f aca="false">IF('Deferred edits'!G84="Waiting",1,0)</f>
        <v>0</v>
      </c>
      <c r="J86" s="0" t="str">
        <f aca="false">IF(I86=1,K86,"")</f>
        <v/>
      </c>
      <c r="K86" s="0" t="n">
        <f aca="false">K85+I86</f>
        <v>5</v>
      </c>
      <c r="L86" s="0" t="n">
        <f aca="false">IF(AND(Versions!B84&lt;&gt;"",Versions!B84='Policy card'!$C$3),1,0)</f>
        <v>0</v>
      </c>
      <c r="M86" s="0" t="str">
        <f aca="false">IF(L86=1,N86,"")</f>
        <v/>
      </c>
      <c r="N86" s="0" t="n">
        <f aca="false">N85+L86</f>
        <v>2</v>
      </c>
      <c r="P86" s="0" t="n">
        <f aca="false">IF(AND(Comments!B84='Policy card'!$C$3,Comments!N84="Closed"),1,0)</f>
        <v>0</v>
      </c>
      <c r="Q86" s="0" t="n">
        <f aca="false">Q85+P86</f>
        <v>7</v>
      </c>
    </row>
    <row r="87" customFormat="false" ht="15" hidden="false" customHeight="false" outlineLevel="0" collapsed="false">
      <c r="A87" s="0" t="str">
        <f aca="false">IF(OR(Drafts!A85="",Drafts!E85="Withdrawn",AND(Drafts!E85="Adopted",OR(Drafts!N85="Complete",Drafts!N85="Not needed"))),"",IFERROR(MATCH(Drafts!E85,StageList,0),99)*1000+85)</f>
        <v/>
      </c>
      <c r="C87" s="0" t="n">
        <f aca="false">IF(AND(Comments!B85='Policy card'!$C$3,Comments!N85="Open"),1,0)</f>
        <v>0</v>
      </c>
      <c r="D87" s="0" t="str">
        <f aca="false">IF(C87=1,E87,IF(P87=1,$E$2003+Q87,""))</f>
        <v/>
      </c>
      <c r="E87" s="0" t="n">
        <f aca="false">E86+C87</f>
        <v>0</v>
      </c>
      <c r="F87" s="0" t="n">
        <f aca="false">IF(AND('Deferred edits'!C85&lt;&gt;"",OR('Deferred edits'!C85='Policy card'!$C$3,'Deferred edits'!B85='Policy card'!$C$3)),1,0)</f>
        <v>0</v>
      </c>
      <c r="G87" s="0" t="str">
        <f aca="false">IF(F87=1,H87,"")</f>
        <v/>
      </c>
      <c r="H87" s="0" t="n">
        <f aca="false">H86+F87</f>
        <v>1</v>
      </c>
      <c r="I87" s="0" t="n">
        <f aca="false">IF('Deferred edits'!G85="Waiting",1,0)</f>
        <v>0</v>
      </c>
      <c r="J87" s="0" t="str">
        <f aca="false">IF(I87=1,K87,"")</f>
        <v/>
      </c>
      <c r="K87" s="0" t="n">
        <f aca="false">K86+I87</f>
        <v>5</v>
      </c>
      <c r="L87" s="0" t="n">
        <f aca="false">IF(AND(Versions!B85&lt;&gt;"",Versions!B85='Policy card'!$C$3),1,0)</f>
        <v>0</v>
      </c>
      <c r="M87" s="0" t="str">
        <f aca="false">IF(L87=1,N87,"")</f>
        <v/>
      </c>
      <c r="N87" s="0" t="n">
        <f aca="false">N86+L87</f>
        <v>2</v>
      </c>
      <c r="P87" s="0" t="n">
        <f aca="false">IF(AND(Comments!B85='Policy card'!$C$3,Comments!N85="Closed"),1,0)</f>
        <v>0</v>
      </c>
      <c r="Q87" s="0" t="n">
        <f aca="false">Q86+P87</f>
        <v>7</v>
      </c>
    </row>
    <row r="88" customFormat="false" ht="15" hidden="false" customHeight="false" outlineLevel="0" collapsed="false">
      <c r="A88" s="0" t="str">
        <f aca="false">IF(OR(Drafts!A86="",Drafts!E86="Withdrawn",AND(Drafts!E86="Adopted",OR(Drafts!N86="Complete",Drafts!N86="Not needed"))),"",IFERROR(MATCH(Drafts!E86,StageList,0),99)*1000+86)</f>
        <v/>
      </c>
      <c r="C88" s="0" t="n">
        <f aca="false">IF(AND(Comments!B86='Policy card'!$C$3,Comments!N86="Open"),1,0)</f>
        <v>0</v>
      </c>
      <c r="D88" s="0" t="str">
        <f aca="false">IF(C88=1,E88,IF(P88=1,$E$2003+Q88,""))</f>
        <v/>
      </c>
      <c r="E88" s="0" t="n">
        <f aca="false">E87+C88</f>
        <v>0</v>
      </c>
      <c r="F88" s="0" t="n">
        <f aca="false">IF(AND('Deferred edits'!C86&lt;&gt;"",OR('Deferred edits'!C86='Policy card'!$C$3,'Deferred edits'!B86='Policy card'!$C$3)),1,0)</f>
        <v>0</v>
      </c>
      <c r="G88" s="0" t="str">
        <f aca="false">IF(F88=1,H88,"")</f>
        <v/>
      </c>
      <c r="H88" s="0" t="n">
        <f aca="false">H87+F88</f>
        <v>1</v>
      </c>
      <c r="I88" s="0" t="n">
        <f aca="false">IF('Deferred edits'!G86="Waiting",1,0)</f>
        <v>0</v>
      </c>
      <c r="J88" s="0" t="str">
        <f aca="false">IF(I88=1,K88,"")</f>
        <v/>
      </c>
      <c r="K88" s="0" t="n">
        <f aca="false">K87+I88</f>
        <v>5</v>
      </c>
      <c r="L88" s="0" t="n">
        <f aca="false">IF(AND(Versions!B86&lt;&gt;"",Versions!B86='Policy card'!$C$3),1,0)</f>
        <v>0</v>
      </c>
      <c r="M88" s="0" t="str">
        <f aca="false">IF(L88=1,N88,"")</f>
        <v/>
      </c>
      <c r="N88" s="0" t="n">
        <f aca="false">N87+L88</f>
        <v>2</v>
      </c>
      <c r="P88" s="0" t="n">
        <f aca="false">IF(AND(Comments!B86='Policy card'!$C$3,Comments!N86="Closed"),1,0)</f>
        <v>0</v>
      </c>
      <c r="Q88" s="0" t="n">
        <f aca="false">Q87+P88</f>
        <v>7</v>
      </c>
    </row>
    <row r="89" customFormat="false" ht="15" hidden="false" customHeight="false" outlineLevel="0" collapsed="false">
      <c r="A89" s="0" t="str">
        <f aca="false">IF(OR(Drafts!A87="",Drafts!E87="Withdrawn",AND(Drafts!E87="Adopted",OR(Drafts!N87="Complete",Drafts!N87="Not needed"))),"",IFERROR(MATCH(Drafts!E87,StageList,0),99)*1000+87)</f>
        <v/>
      </c>
      <c r="C89" s="0" t="n">
        <f aca="false">IF(AND(Comments!B87='Policy card'!$C$3,Comments!N87="Open"),1,0)</f>
        <v>0</v>
      </c>
      <c r="D89" s="0" t="str">
        <f aca="false">IF(C89=1,E89,IF(P89=1,$E$2003+Q89,""))</f>
        <v/>
      </c>
      <c r="E89" s="0" t="n">
        <f aca="false">E88+C89</f>
        <v>0</v>
      </c>
      <c r="F89" s="0" t="n">
        <f aca="false">IF(AND('Deferred edits'!C87&lt;&gt;"",OR('Deferred edits'!C87='Policy card'!$C$3,'Deferred edits'!B87='Policy card'!$C$3)),1,0)</f>
        <v>0</v>
      </c>
      <c r="G89" s="0" t="str">
        <f aca="false">IF(F89=1,H89,"")</f>
        <v/>
      </c>
      <c r="H89" s="0" t="n">
        <f aca="false">H88+F89</f>
        <v>1</v>
      </c>
      <c r="I89" s="0" t="n">
        <f aca="false">IF('Deferred edits'!G87="Waiting",1,0)</f>
        <v>0</v>
      </c>
      <c r="J89" s="0" t="str">
        <f aca="false">IF(I89=1,K89,"")</f>
        <v/>
      </c>
      <c r="K89" s="0" t="n">
        <f aca="false">K88+I89</f>
        <v>5</v>
      </c>
      <c r="L89" s="0" t="n">
        <f aca="false">IF(AND(Versions!B87&lt;&gt;"",Versions!B87='Policy card'!$C$3),1,0)</f>
        <v>0</v>
      </c>
      <c r="M89" s="0" t="str">
        <f aca="false">IF(L89=1,N89,"")</f>
        <v/>
      </c>
      <c r="N89" s="0" t="n">
        <f aca="false">N88+L89</f>
        <v>2</v>
      </c>
      <c r="P89" s="0" t="n">
        <f aca="false">IF(AND(Comments!B87='Policy card'!$C$3,Comments!N87="Closed"),1,0)</f>
        <v>0</v>
      </c>
      <c r="Q89" s="0" t="n">
        <f aca="false">Q88+P89</f>
        <v>7</v>
      </c>
    </row>
    <row r="90" customFormat="false" ht="15" hidden="false" customHeight="false" outlineLevel="0" collapsed="false">
      <c r="A90" s="0" t="str">
        <f aca="false">IF(OR(Drafts!A88="",Drafts!E88="Withdrawn",AND(Drafts!E88="Adopted",OR(Drafts!N88="Complete",Drafts!N88="Not needed"))),"",IFERROR(MATCH(Drafts!E88,StageList,0),99)*1000+88)</f>
        <v/>
      </c>
      <c r="C90" s="0" t="n">
        <f aca="false">IF(AND(Comments!B88='Policy card'!$C$3,Comments!N88="Open"),1,0)</f>
        <v>0</v>
      </c>
      <c r="D90" s="0" t="str">
        <f aca="false">IF(C90=1,E90,IF(P90=1,$E$2003+Q90,""))</f>
        <v/>
      </c>
      <c r="E90" s="0" t="n">
        <f aca="false">E89+C90</f>
        <v>0</v>
      </c>
      <c r="F90" s="0" t="n">
        <f aca="false">IF(AND('Deferred edits'!C88&lt;&gt;"",OR('Deferred edits'!C88='Policy card'!$C$3,'Deferred edits'!B88='Policy card'!$C$3)),1,0)</f>
        <v>0</v>
      </c>
      <c r="G90" s="0" t="str">
        <f aca="false">IF(F90=1,H90,"")</f>
        <v/>
      </c>
      <c r="H90" s="0" t="n">
        <f aca="false">H89+F90</f>
        <v>1</v>
      </c>
      <c r="I90" s="0" t="n">
        <f aca="false">IF('Deferred edits'!G88="Waiting",1,0)</f>
        <v>0</v>
      </c>
      <c r="J90" s="0" t="str">
        <f aca="false">IF(I90=1,K90,"")</f>
        <v/>
      </c>
      <c r="K90" s="0" t="n">
        <f aca="false">K89+I90</f>
        <v>5</v>
      </c>
      <c r="L90" s="0" t="n">
        <f aca="false">IF(AND(Versions!B88&lt;&gt;"",Versions!B88='Policy card'!$C$3),1,0)</f>
        <v>0</v>
      </c>
      <c r="M90" s="0" t="str">
        <f aca="false">IF(L90=1,N90,"")</f>
        <v/>
      </c>
      <c r="N90" s="0" t="n">
        <f aca="false">N89+L90</f>
        <v>2</v>
      </c>
      <c r="P90" s="0" t="n">
        <f aca="false">IF(AND(Comments!B88='Policy card'!$C$3,Comments!N88="Closed"),1,0)</f>
        <v>0</v>
      </c>
      <c r="Q90" s="0" t="n">
        <f aca="false">Q89+P90</f>
        <v>7</v>
      </c>
    </row>
    <row r="91" customFormat="false" ht="15" hidden="false" customHeight="false" outlineLevel="0" collapsed="false">
      <c r="A91" s="0" t="str">
        <f aca="false">IF(OR(Drafts!A89="",Drafts!E89="Withdrawn",AND(Drafts!E89="Adopted",OR(Drafts!N89="Complete",Drafts!N89="Not needed"))),"",IFERROR(MATCH(Drafts!E89,StageList,0),99)*1000+89)</f>
        <v/>
      </c>
      <c r="C91" s="0" t="n">
        <f aca="false">IF(AND(Comments!B89='Policy card'!$C$3,Comments!N89="Open"),1,0)</f>
        <v>0</v>
      </c>
      <c r="D91" s="0" t="str">
        <f aca="false">IF(C91=1,E91,IF(P91=1,$E$2003+Q91,""))</f>
        <v/>
      </c>
      <c r="E91" s="0" t="n">
        <f aca="false">E90+C91</f>
        <v>0</v>
      </c>
      <c r="F91" s="0" t="n">
        <f aca="false">IF(AND('Deferred edits'!C89&lt;&gt;"",OR('Deferred edits'!C89='Policy card'!$C$3,'Deferred edits'!B89='Policy card'!$C$3)),1,0)</f>
        <v>0</v>
      </c>
      <c r="G91" s="0" t="str">
        <f aca="false">IF(F91=1,H91,"")</f>
        <v/>
      </c>
      <c r="H91" s="0" t="n">
        <f aca="false">H90+F91</f>
        <v>1</v>
      </c>
      <c r="I91" s="0" t="n">
        <f aca="false">IF('Deferred edits'!G89="Waiting",1,0)</f>
        <v>0</v>
      </c>
      <c r="J91" s="0" t="str">
        <f aca="false">IF(I91=1,K91,"")</f>
        <v/>
      </c>
      <c r="K91" s="0" t="n">
        <f aca="false">K90+I91</f>
        <v>5</v>
      </c>
      <c r="L91" s="0" t="n">
        <f aca="false">IF(AND(Versions!B89&lt;&gt;"",Versions!B89='Policy card'!$C$3),1,0)</f>
        <v>0</v>
      </c>
      <c r="M91" s="0" t="str">
        <f aca="false">IF(L91=1,N91,"")</f>
        <v/>
      </c>
      <c r="N91" s="0" t="n">
        <f aca="false">N90+L91</f>
        <v>2</v>
      </c>
      <c r="P91" s="0" t="n">
        <f aca="false">IF(AND(Comments!B89='Policy card'!$C$3,Comments!N89="Closed"),1,0)</f>
        <v>0</v>
      </c>
      <c r="Q91" s="0" t="n">
        <f aca="false">Q90+P91</f>
        <v>7</v>
      </c>
    </row>
    <row r="92" customFormat="false" ht="15" hidden="false" customHeight="false" outlineLevel="0" collapsed="false">
      <c r="A92" s="0" t="str">
        <f aca="false">IF(OR(Drafts!A90="",Drafts!E90="Withdrawn",AND(Drafts!E90="Adopted",OR(Drafts!N90="Complete",Drafts!N90="Not needed"))),"",IFERROR(MATCH(Drafts!E90,StageList,0),99)*1000+90)</f>
        <v/>
      </c>
      <c r="C92" s="0" t="n">
        <f aca="false">IF(AND(Comments!B90='Policy card'!$C$3,Comments!N90="Open"),1,0)</f>
        <v>0</v>
      </c>
      <c r="D92" s="0" t="str">
        <f aca="false">IF(C92=1,E92,IF(P92=1,$E$2003+Q92,""))</f>
        <v/>
      </c>
      <c r="E92" s="0" t="n">
        <f aca="false">E91+C92</f>
        <v>0</v>
      </c>
      <c r="F92" s="0" t="n">
        <f aca="false">IF(AND('Deferred edits'!C90&lt;&gt;"",OR('Deferred edits'!C90='Policy card'!$C$3,'Deferred edits'!B90='Policy card'!$C$3)),1,0)</f>
        <v>0</v>
      </c>
      <c r="G92" s="0" t="str">
        <f aca="false">IF(F92=1,H92,"")</f>
        <v/>
      </c>
      <c r="H92" s="0" t="n">
        <f aca="false">H91+F92</f>
        <v>1</v>
      </c>
      <c r="I92" s="0" t="n">
        <f aca="false">IF('Deferred edits'!G90="Waiting",1,0)</f>
        <v>0</v>
      </c>
      <c r="J92" s="0" t="str">
        <f aca="false">IF(I92=1,K92,"")</f>
        <v/>
      </c>
      <c r="K92" s="0" t="n">
        <f aca="false">K91+I92</f>
        <v>5</v>
      </c>
      <c r="L92" s="0" t="n">
        <f aca="false">IF(AND(Versions!B90&lt;&gt;"",Versions!B90='Policy card'!$C$3),1,0)</f>
        <v>0</v>
      </c>
      <c r="M92" s="0" t="str">
        <f aca="false">IF(L92=1,N92,"")</f>
        <v/>
      </c>
      <c r="N92" s="0" t="n">
        <f aca="false">N91+L92</f>
        <v>2</v>
      </c>
      <c r="P92" s="0" t="n">
        <f aca="false">IF(AND(Comments!B90='Policy card'!$C$3,Comments!N90="Closed"),1,0)</f>
        <v>0</v>
      </c>
      <c r="Q92" s="0" t="n">
        <f aca="false">Q91+P92</f>
        <v>7</v>
      </c>
    </row>
    <row r="93" customFormat="false" ht="15" hidden="false" customHeight="false" outlineLevel="0" collapsed="false">
      <c r="A93" s="0" t="str">
        <f aca="false">IF(OR(Drafts!A91="",Drafts!E91="Withdrawn",AND(Drafts!E91="Adopted",OR(Drafts!N91="Complete",Drafts!N91="Not needed"))),"",IFERROR(MATCH(Drafts!E91,StageList,0),99)*1000+91)</f>
        <v/>
      </c>
      <c r="C93" s="0" t="n">
        <f aca="false">IF(AND(Comments!B91='Policy card'!$C$3,Comments!N91="Open"),1,0)</f>
        <v>0</v>
      </c>
      <c r="D93" s="0" t="str">
        <f aca="false">IF(C93=1,E93,IF(P93=1,$E$2003+Q93,""))</f>
        <v/>
      </c>
      <c r="E93" s="0" t="n">
        <f aca="false">E92+C93</f>
        <v>0</v>
      </c>
      <c r="F93" s="0" t="n">
        <f aca="false">IF(AND('Deferred edits'!C91&lt;&gt;"",OR('Deferred edits'!C91='Policy card'!$C$3,'Deferred edits'!B91='Policy card'!$C$3)),1,0)</f>
        <v>0</v>
      </c>
      <c r="G93" s="0" t="str">
        <f aca="false">IF(F93=1,H93,"")</f>
        <v/>
      </c>
      <c r="H93" s="0" t="n">
        <f aca="false">H92+F93</f>
        <v>1</v>
      </c>
      <c r="I93" s="0" t="n">
        <f aca="false">IF('Deferred edits'!G91="Waiting",1,0)</f>
        <v>0</v>
      </c>
      <c r="J93" s="0" t="str">
        <f aca="false">IF(I93=1,K93,"")</f>
        <v/>
      </c>
      <c r="K93" s="0" t="n">
        <f aca="false">K92+I93</f>
        <v>5</v>
      </c>
      <c r="L93" s="0" t="n">
        <f aca="false">IF(AND(Versions!B91&lt;&gt;"",Versions!B91='Policy card'!$C$3),1,0)</f>
        <v>0</v>
      </c>
      <c r="M93" s="0" t="str">
        <f aca="false">IF(L93=1,N93,"")</f>
        <v/>
      </c>
      <c r="N93" s="0" t="n">
        <f aca="false">N92+L93</f>
        <v>2</v>
      </c>
      <c r="P93" s="0" t="n">
        <f aca="false">IF(AND(Comments!B91='Policy card'!$C$3,Comments!N91="Closed"),1,0)</f>
        <v>0</v>
      </c>
      <c r="Q93" s="0" t="n">
        <f aca="false">Q92+P93</f>
        <v>7</v>
      </c>
    </row>
    <row r="94" customFormat="false" ht="15" hidden="false" customHeight="false" outlineLevel="0" collapsed="false">
      <c r="A94" s="0" t="str">
        <f aca="false">IF(OR(Drafts!A92="",Drafts!E92="Withdrawn",AND(Drafts!E92="Adopted",OR(Drafts!N92="Complete",Drafts!N92="Not needed"))),"",IFERROR(MATCH(Drafts!E92,StageList,0),99)*1000+92)</f>
        <v/>
      </c>
      <c r="C94" s="0" t="n">
        <f aca="false">IF(AND(Comments!B92='Policy card'!$C$3,Comments!N92="Open"),1,0)</f>
        <v>0</v>
      </c>
      <c r="D94" s="0" t="str">
        <f aca="false">IF(C94=1,E94,IF(P94=1,$E$2003+Q94,""))</f>
        <v/>
      </c>
      <c r="E94" s="0" t="n">
        <f aca="false">E93+C94</f>
        <v>0</v>
      </c>
      <c r="F94" s="0" t="n">
        <f aca="false">IF(AND('Deferred edits'!C92&lt;&gt;"",OR('Deferred edits'!C92='Policy card'!$C$3,'Deferred edits'!B92='Policy card'!$C$3)),1,0)</f>
        <v>0</v>
      </c>
      <c r="G94" s="0" t="str">
        <f aca="false">IF(F94=1,H94,"")</f>
        <v/>
      </c>
      <c r="H94" s="0" t="n">
        <f aca="false">H93+F94</f>
        <v>1</v>
      </c>
      <c r="I94" s="0" t="n">
        <f aca="false">IF('Deferred edits'!G92="Waiting",1,0)</f>
        <v>0</v>
      </c>
      <c r="J94" s="0" t="str">
        <f aca="false">IF(I94=1,K94,"")</f>
        <v/>
      </c>
      <c r="K94" s="0" t="n">
        <f aca="false">K93+I94</f>
        <v>5</v>
      </c>
      <c r="L94" s="0" t="n">
        <f aca="false">IF(AND(Versions!B92&lt;&gt;"",Versions!B92='Policy card'!$C$3),1,0)</f>
        <v>0</v>
      </c>
      <c r="M94" s="0" t="str">
        <f aca="false">IF(L94=1,N94,"")</f>
        <v/>
      </c>
      <c r="N94" s="0" t="n">
        <f aca="false">N93+L94</f>
        <v>2</v>
      </c>
      <c r="P94" s="0" t="n">
        <f aca="false">IF(AND(Comments!B92='Policy card'!$C$3,Comments!N92="Closed"),1,0)</f>
        <v>0</v>
      </c>
      <c r="Q94" s="0" t="n">
        <f aca="false">Q93+P94</f>
        <v>7</v>
      </c>
    </row>
    <row r="95" customFormat="false" ht="15" hidden="false" customHeight="false" outlineLevel="0" collapsed="false">
      <c r="A95" s="0" t="str">
        <f aca="false">IF(OR(Drafts!A93="",Drafts!E93="Withdrawn",AND(Drafts!E93="Adopted",OR(Drafts!N93="Complete",Drafts!N93="Not needed"))),"",IFERROR(MATCH(Drafts!E93,StageList,0),99)*1000+93)</f>
        <v/>
      </c>
      <c r="C95" s="0" t="n">
        <f aca="false">IF(AND(Comments!B93='Policy card'!$C$3,Comments!N93="Open"),1,0)</f>
        <v>0</v>
      </c>
      <c r="D95" s="0" t="str">
        <f aca="false">IF(C95=1,E95,IF(P95=1,$E$2003+Q95,""))</f>
        <v/>
      </c>
      <c r="E95" s="0" t="n">
        <f aca="false">E94+C95</f>
        <v>0</v>
      </c>
      <c r="F95" s="0" t="n">
        <f aca="false">IF(AND('Deferred edits'!C93&lt;&gt;"",OR('Deferred edits'!C93='Policy card'!$C$3,'Deferred edits'!B93='Policy card'!$C$3)),1,0)</f>
        <v>0</v>
      </c>
      <c r="G95" s="0" t="str">
        <f aca="false">IF(F95=1,H95,"")</f>
        <v/>
      </c>
      <c r="H95" s="0" t="n">
        <f aca="false">H94+F95</f>
        <v>1</v>
      </c>
      <c r="I95" s="0" t="n">
        <f aca="false">IF('Deferred edits'!G93="Waiting",1,0)</f>
        <v>0</v>
      </c>
      <c r="J95" s="0" t="str">
        <f aca="false">IF(I95=1,K95,"")</f>
        <v/>
      </c>
      <c r="K95" s="0" t="n">
        <f aca="false">K94+I95</f>
        <v>5</v>
      </c>
      <c r="L95" s="0" t="n">
        <f aca="false">IF(AND(Versions!B93&lt;&gt;"",Versions!B93='Policy card'!$C$3),1,0)</f>
        <v>0</v>
      </c>
      <c r="M95" s="0" t="str">
        <f aca="false">IF(L95=1,N95,"")</f>
        <v/>
      </c>
      <c r="N95" s="0" t="n">
        <f aca="false">N94+L95</f>
        <v>2</v>
      </c>
      <c r="P95" s="0" t="n">
        <f aca="false">IF(AND(Comments!B93='Policy card'!$C$3,Comments!N93="Closed"),1,0)</f>
        <v>0</v>
      </c>
      <c r="Q95" s="0" t="n">
        <f aca="false">Q94+P95</f>
        <v>7</v>
      </c>
    </row>
    <row r="96" customFormat="false" ht="15" hidden="false" customHeight="false" outlineLevel="0" collapsed="false">
      <c r="A96" s="0" t="str">
        <f aca="false">IF(OR(Drafts!A94="",Drafts!E94="Withdrawn",AND(Drafts!E94="Adopted",OR(Drafts!N94="Complete",Drafts!N94="Not needed"))),"",IFERROR(MATCH(Drafts!E94,StageList,0),99)*1000+94)</f>
        <v/>
      </c>
      <c r="C96" s="0" t="n">
        <f aca="false">IF(AND(Comments!B94='Policy card'!$C$3,Comments!N94="Open"),1,0)</f>
        <v>0</v>
      </c>
      <c r="D96" s="0" t="str">
        <f aca="false">IF(C96=1,E96,IF(P96=1,$E$2003+Q96,""))</f>
        <v/>
      </c>
      <c r="E96" s="0" t="n">
        <f aca="false">E95+C96</f>
        <v>0</v>
      </c>
      <c r="F96" s="0" t="n">
        <f aca="false">IF(AND('Deferred edits'!C94&lt;&gt;"",OR('Deferred edits'!C94='Policy card'!$C$3,'Deferred edits'!B94='Policy card'!$C$3)),1,0)</f>
        <v>0</v>
      </c>
      <c r="G96" s="0" t="str">
        <f aca="false">IF(F96=1,H96,"")</f>
        <v/>
      </c>
      <c r="H96" s="0" t="n">
        <f aca="false">H95+F96</f>
        <v>1</v>
      </c>
      <c r="I96" s="0" t="n">
        <f aca="false">IF('Deferred edits'!G94="Waiting",1,0)</f>
        <v>0</v>
      </c>
      <c r="J96" s="0" t="str">
        <f aca="false">IF(I96=1,K96,"")</f>
        <v/>
      </c>
      <c r="K96" s="0" t="n">
        <f aca="false">K95+I96</f>
        <v>5</v>
      </c>
      <c r="L96" s="0" t="n">
        <f aca="false">IF(AND(Versions!B94&lt;&gt;"",Versions!B94='Policy card'!$C$3),1,0)</f>
        <v>0</v>
      </c>
      <c r="M96" s="0" t="str">
        <f aca="false">IF(L96=1,N96,"")</f>
        <v/>
      </c>
      <c r="N96" s="0" t="n">
        <f aca="false">N95+L96</f>
        <v>2</v>
      </c>
      <c r="P96" s="0" t="n">
        <f aca="false">IF(AND(Comments!B94='Policy card'!$C$3,Comments!N94="Closed"),1,0)</f>
        <v>0</v>
      </c>
      <c r="Q96" s="0" t="n">
        <f aca="false">Q95+P96</f>
        <v>7</v>
      </c>
    </row>
    <row r="97" customFormat="false" ht="15" hidden="false" customHeight="false" outlineLevel="0" collapsed="false">
      <c r="A97" s="0" t="str">
        <f aca="false">IF(OR(Drafts!A95="",Drafts!E95="Withdrawn",AND(Drafts!E95="Adopted",OR(Drafts!N95="Complete",Drafts!N95="Not needed"))),"",IFERROR(MATCH(Drafts!E95,StageList,0),99)*1000+95)</f>
        <v/>
      </c>
      <c r="C97" s="0" t="n">
        <f aca="false">IF(AND(Comments!B95='Policy card'!$C$3,Comments!N95="Open"),1,0)</f>
        <v>0</v>
      </c>
      <c r="D97" s="0" t="str">
        <f aca="false">IF(C97=1,E97,IF(P97=1,$E$2003+Q97,""))</f>
        <v/>
      </c>
      <c r="E97" s="0" t="n">
        <f aca="false">E96+C97</f>
        <v>0</v>
      </c>
      <c r="F97" s="0" t="n">
        <f aca="false">IF(AND('Deferred edits'!C95&lt;&gt;"",OR('Deferred edits'!C95='Policy card'!$C$3,'Deferred edits'!B95='Policy card'!$C$3)),1,0)</f>
        <v>0</v>
      </c>
      <c r="G97" s="0" t="str">
        <f aca="false">IF(F97=1,H97,"")</f>
        <v/>
      </c>
      <c r="H97" s="0" t="n">
        <f aca="false">H96+F97</f>
        <v>1</v>
      </c>
      <c r="I97" s="0" t="n">
        <f aca="false">IF('Deferred edits'!G95="Waiting",1,0)</f>
        <v>0</v>
      </c>
      <c r="J97" s="0" t="str">
        <f aca="false">IF(I97=1,K97,"")</f>
        <v/>
      </c>
      <c r="K97" s="0" t="n">
        <f aca="false">K96+I97</f>
        <v>5</v>
      </c>
      <c r="L97" s="0" t="n">
        <f aca="false">IF(AND(Versions!B95&lt;&gt;"",Versions!B95='Policy card'!$C$3),1,0)</f>
        <v>0</v>
      </c>
      <c r="M97" s="0" t="str">
        <f aca="false">IF(L97=1,N97,"")</f>
        <v/>
      </c>
      <c r="N97" s="0" t="n">
        <f aca="false">N96+L97</f>
        <v>2</v>
      </c>
      <c r="P97" s="0" t="n">
        <f aca="false">IF(AND(Comments!B95='Policy card'!$C$3,Comments!N95="Closed"),1,0)</f>
        <v>0</v>
      </c>
      <c r="Q97" s="0" t="n">
        <f aca="false">Q96+P97</f>
        <v>7</v>
      </c>
    </row>
    <row r="98" customFormat="false" ht="15" hidden="false" customHeight="false" outlineLevel="0" collapsed="false">
      <c r="A98" s="0" t="str">
        <f aca="false">IF(OR(Drafts!A96="",Drafts!E96="Withdrawn",AND(Drafts!E96="Adopted",OR(Drafts!N96="Complete",Drafts!N96="Not needed"))),"",IFERROR(MATCH(Drafts!E96,StageList,0),99)*1000+96)</f>
        <v/>
      </c>
      <c r="C98" s="0" t="n">
        <f aca="false">IF(AND(Comments!B96='Policy card'!$C$3,Comments!N96="Open"),1,0)</f>
        <v>0</v>
      </c>
      <c r="D98" s="0" t="str">
        <f aca="false">IF(C98=1,E98,IF(P98=1,$E$2003+Q98,""))</f>
        <v/>
      </c>
      <c r="E98" s="0" t="n">
        <f aca="false">E97+C98</f>
        <v>0</v>
      </c>
      <c r="F98" s="0" t="n">
        <f aca="false">IF(AND('Deferred edits'!C96&lt;&gt;"",OR('Deferred edits'!C96='Policy card'!$C$3,'Deferred edits'!B96='Policy card'!$C$3)),1,0)</f>
        <v>0</v>
      </c>
      <c r="G98" s="0" t="str">
        <f aca="false">IF(F98=1,H98,"")</f>
        <v/>
      </c>
      <c r="H98" s="0" t="n">
        <f aca="false">H97+F98</f>
        <v>1</v>
      </c>
      <c r="I98" s="0" t="n">
        <f aca="false">IF('Deferred edits'!G96="Waiting",1,0)</f>
        <v>0</v>
      </c>
      <c r="J98" s="0" t="str">
        <f aca="false">IF(I98=1,K98,"")</f>
        <v/>
      </c>
      <c r="K98" s="0" t="n">
        <f aca="false">K97+I98</f>
        <v>5</v>
      </c>
      <c r="L98" s="0" t="n">
        <f aca="false">IF(AND(Versions!B96&lt;&gt;"",Versions!B96='Policy card'!$C$3),1,0)</f>
        <v>0</v>
      </c>
      <c r="M98" s="0" t="str">
        <f aca="false">IF(L98=1,N98,"")</f>
        <v/>
      </c>
      <c r="N98" s="0" t="n">
        <f aca="false">N97+L98</f>
        <v>2</v>
      </c>
      <c r="P98" s="0" t="n">
        <f aca="false">IF(AND(Comments!B96='Policy card'!$C$3,Comments!N96="Closed"),1,0)</f>
        <v>0</v>
      </c>
      <c r="Q98" s="0" t="n">
        <f aca="false">Q97+P98</f>
        <v>7</v>
      </c>
    </row>
    <row r="99" customFormat="false" ht="15" hidden="false" customHeight="false" outlineLevel="0" collapsed="false">
      <c r="A99" s="0" t="str">
        <f aca="false">IF(OR(Drafts!A97="",Drafts!E97="Withdrawn",AND(Drafts!E97="Adopted",OR(Drafts!N97="Complete",Drafts!N97="Not needed"))),"",IFERROR(MATCH(Drafts!E97,StageList,0),99)*1000+97)</f>
        <v/>
      </c>
      <c r="C99" s="0" t="n">
        <f aca="false">IF(AND(Comments!B97='Policy card'!$C$3,Comments!N97="Open"),1,0)</f>
        <v>0</v>
      </c>
      <c r="D99" s="0" t="str">
        <f aca="false">IF(C99=1,E99,IF(P99=1,$E$2003+Q99,""))</f>
        <v/>
      </c>
      <c r="E99" s="0" t="n">
        <f aca="false">E98+C99</f>
        <v>0</v>
      </c>
      <c r="F99" s="0" t="n">
        <f aca="false">IF(AND('Deferred edits'!C97&lt;&gt;"",OR('Deferred edits'!C97='Policy card'!$C$3,'Deferred edits'!B97='Policy card'!$C$3)),1,0)</f>
        <v>0</v>
      </c>
      <c r="G99" s="0" t="str">
        <f aca="false">IF(F99=1,H99,"")</f>
        <v/>
      </c>
      <c r="H99" s="0" t="n">
        <f aca="false">H98+F99</f>
        <v>1</v>
      </c>
      <c r="I99" s="0" t="n">
        <f aca="false">IF('Deferred edits'!G97="Waiting",1,0)</f>
        <v>0</v>
      </c>
      <c r="J99" s="0" t="str">
        <f aca="false">IF(I99=1,K99,"")</f>
        <v/>
      </c>
      <c r="K99" s="0" t="n">
        <f aca="false">K98+I99</f>
        <v>5</v>
      </c>
      <c r="L99" s="0" t="n">
        <f aca="false">IF(AND(Versions!B97&lt;&gt;"",Versions!B97='Policy card'!$C$3),1,0)</f>
        <v>0</v>
      </c>
      <c r="M99" s="0" t="str">
        <f aca="false">IF(L99=1,N99,"")</f>
        <v/>
      </c>
      <c r="N99" s="0" t="n">
        <f aca="false">N98+L99</f>
        <v>2</v>
      </c>
      <c r="P99" s="0" t="n">
        <f aca="false">IF(AND(Comments!B97='Policy card'!$C$3,Comments!N97="Closed"),1,0)</f>
        <v>0</v>
      </c>
      <c r="Q99" s="0" t="n">
        <f aca="false">Q98+P99</f>
        <v>7</v>
      </c>
    </row>
    <row r="100" customFormat="false" ht="15" hidden="false" customHeight="false" outlineLevel="0" collapsed="false">
      <c r="A100" s="0" t="str">
        <f aca="false">IF(OR(Drafts!A98="",Drafts!E98="Withdrawn",AND(Drafts!E98="Adopted",OR(Drafts!N98="Complete",Drafts!N98="Not needed"))),"",IFERROR(MATCH(Drafts!E98,StageList,0),99)*1000+98)</f>
        <v/>
      </c>
      <c r="C100" s="0" t="n">
        <f aca="false">IF(AND(Comments!B98='Policy card'!$C$3,Comments!N98="Open"),1,0)</f>
        <v>0</v>
      </c>
      <c r="D100" s="0" t="str">
        <f aca="false">IF(C100=1,E100,IF(P100=1,$E$2003+Q100,""))</f>
        <v/>
      </c>
      <c r="E100" s="0" t="n">
        <f aca="false">E99+C100</f>
        <v>0</v>
      </c>
      <c r="F100" s="0" t="n">
        <f aca="false">IF(AND('Deferred edits'!C98&lt;&gt;"",OR('Deferred edits'!C98='Policy card'!$C$3,'Deferred edits'!B98='Policy card'!$C$3)),1,0)</f>
        <v>0</v>
      </c>
      <c r="G100" s="0" t="str">
        <f aca="false">IF(F100=1,H100,"")</f>
        <v/>
      </c>
      <c r="H100" s="0" t="n">
        <f aca="false">H99+F100</f>
        <v>1</v>
      </c>
      <c r="I100" s="0" t="n">
        <f aca="false">IF('Deferred edits'!G98="Waiting",1,0)</f>
        <v>0</v>
      </c>
      <c r="J100" s="0" t="str">
        <f aca="false">IF(I100=1,K100,"")</f>
        <v/>
      </c>
      <c r="K100" s="0" t="n">
        <f aca="false">K99+I100</f>
        <v>5</v>
      </c>
      <c r="L100" s="0" t="n">
        <f aca="false">IF(AND(Versions!B98&lt;&gt;"",Versions!B98='Policy card'!$C$3),1,0)</f>
        <v>0</v>
      </c>
      <c r="M100" s="0" t="str">
        <f aca="false">IF(L100=1,N100,"")</f>
        <v/>
      </c>
      <c r="N100" s="0" t="n">
        <f aca="false">N99+L100</f>
        <v>2</v>
      </c>
      <c r="P100" s="0" t="n">
        <f aca="false">IF(AND(Comments!B98='Policy card'!$C$3,Comments!N98="Closed"),1,0)</f>
        <v>0</v>
      </c>
      <c r="Q100" s="0" t="n">
        <f aca="false">Q99+P100</f>
        <v>7</v>
      </c>
    </row>
    <row r="101" customFormat="false" ht="15" hidden="false" customHeight="false" outlineLevel="0" collapsed="false">
      <c r="A101" s="0" t="str">
        <f aca="false">IF(OR(Drafts!A99="",Drafts!E99="Withdrawn",AND(Drafts!E99="Adopted",OR(Drafts!N99="Complete",Drafts!N99="Not needed"))),"",IFERROR(MATCH(Drafts!E99,StageList,0),99)*1000+99)</f>
        <v/>
      </c>
      <c r="C101" s="0" t="n">
        <f aca="false">IF(AND(Comments!B99='Policy card'!$C$3,Comments!N99="Open"),1,0)</f>
        <v>0</v>
      </c>
      <c r="D101" s="0" t="str">
        <f aca="false">IF(C101=1,E101,IF(P101=1,$E$2003+Q101,""))</f>
        <v/>
      </c>
      <c r="E101" s="0" t="n">
        <f aca="false">E100+C101</f>
        <v>0</v>
      </c>
      <c r="F101" s="0" t="n">
        <f aca="false">IF(AND('Deferred edits'!C99&lt;&gt;"",OR('Deferred edits'!C99='Policy card'!$C$3,'Deferred edits'!B99='Policy card'!$C$3)),1,0)</f>
        <v>0</v>
      </c>
      <c r="G101" s="0" t="str">
        <f aca="false">IF(F101=1,H101,"")</f>
        <v/>
      </c>
      <c r="H101" s="0" t="n">
        <f aca="false">H100+F101</f>
        <v>1</v>
      </c>
      <c r="I101" s="0" t="n">
        <f aca="false">IF('Deferred edits'!G99="Waiting",1,0)</f>
        <v>0</v>
      </c>
      <c r="J101" s="0" t="str">
        <f aca="false">IF(I101=1,K101,"")</f>
        <v/>
      </c>
      <c r="K101" s="0" t="n">
        <f aca="false">K100+I101</f>
        <v>5</v>
      </c>
      <c r="L101" s="0" t="n">
        <f aca="false">IF(AND(Versions!B99&lt;&gt;"",Versions!B99='Policy card'!$C$3),1,0)</f>
        <v>0</v>
      </c>
      <c r="M101" s="0" t="str">
        <f aca="false">IF(L101=1,N101,"")</f>
        <v/>
      </c>
      <c r="N101" s="0" t="n">
        <f aca="false">N100+L101</f>
        <v>2</v>
      </c>
      <c r="P101" s="0" t="n">
        <f aca="false">IF(AND(Comments!B99='Policy card'!$C$3,Comments!N99="Closed"),1,0)</f>
        <v>0</v>
      </c>
      <c r="Q101" s="0" t="n">
        <f aca="false">Q100+P101</f>
        <v>7</v>
      </c>
    </row>
    <row r="102" customFormat="false" ht="15" hidden="false" customHeight="false" outlineLevel="0" collapsed="false">
      <c r="A102" s="0" t="str">
        <f aca="false">IF(OR(Drafts!A100="",Drafts!E100="Withdrawn",AND(Drafts!E100="Adopted",OR(Drafts!N100="Complete",Drafts!N100="Not needed"))),"",IFERROR(MATCH(Drafts!E100,StageList,0),99)*1000+100)</f>
        <v/>
      </c>
      <c r="C102" s="0" t="n">
        <f aca="false">IF(AND(Comments!B100='Policy card'!$C$3,Comments!N100="Open"),1,0)</f>
        <v>0</v>
      </c>
      <c r="D102" s="0" t="str">
        <f aca="false">IF(C102=1,E102,IF(P102=1,$E$2003+Q102,""))</f>
        <v/>
      </c>
      <c r="E102" s="0" t="n">
        <f aca="false">E101+C102</f>
        <v>0</v>
      </c>
      <c r="F102" s="0" t="n">
        <f aca="false">IF(AND('Deferred edits'!C100&lt;&gt;"",OR('Deferred edits'!C100='Policy card'!$C$3,'Deferred edits'!B100='Policy card'!$C$3)),1,0)</f>
        <v>0</v>
      </c>
      <c r="G102" s="0" t="str">
        <f aca="false">IF(F102=1,H102,"")</f>
        <v/>
      </c>
      <c r="H102" s="0" t="n">
        <f aca="false">H101+F102</f>
        <v>1</v>
      </c>
      <c r="I102" s="0" t="n">
        <f aca="false">IF('Deferred edits'!G100="Waiting",1,0)</f>
        <v>0</v>
      </c>
      <c r="J102" s="0" t="str">
        <f aca="false">IF(I102=1,K102,"")</f>
        <v/>
      </c>
      <c r="K102" s="0" t="n">
        <f aca="false">K101+I102</f>
        <v>5</v>
      </c>
      <c r="L102" s="0" t="n">
        <f aca="false">IF(AND(Versions!B100&lt;&gt;"",Versions!B100='Policy card'!$C$3),1,0)</f>
        <v>0</v>
      </c>
      <c r="M102" s="0" t="str">
        <f aca="false">IF(L102=1,N102,"")</f>
        <v/>
      </c>
      <c r="N102" s="0" t="n">
        <f aca="false">N101+L102</f>
        <v>2</v>
      </c>
      <c r="P102" s="0" t="n">
        <f aca="false">IF(AND(Comments!B100='Policy card'!$C$3,Comments!N100="Closed"),1,0)</f>
        <v>0</v>
      </c>
      <c r="Q102" s="0" t="n">
        <f aca="false">Q101+P102</f>
        <v>7</v>
      </c>
    </row>
    <row r="103" customFormat="false" ht="15" hidden="false" customHeight="false" outlineLevel="0" collapsed="false">
      <c r="A103" s="0" t="str">
        <f aca="false">IF(OR(Drafts!A101="",Drafts!E101="Withdrawn",AND(Drafts!E101="Adopted",OR(Drafts!N101="Complete",Drafts!N101="Not needed"))),"",IFERROR(MATCH(Drafts!E101,StageList,0),99)*1000+101)</f>
        <v/>
      </c>
      <c r="C103" s="0" t="n">
        <f aca="false">IF(AND(Comments!B101='Policy card'!$C$3,Comments!N101="Open"),1,0)</f>
        <v>0</v>
      </c>
      <c r="D103" s="0" t="str">
        <f aca="false">IF(C103=1,E103,IF(P103=1,$E$2003+Q103,""))</f>
        <v/>
      </c>
      <c r="E103" s="0" t="n">
        <f aca="false">E102+C103</f>
        <v>0</v>
      </c>
      <c r="F103" s="0" t="n">
        <f aca="false">IF(AND('Deferred edits'!C101&lt;&gt;"",OR('Deferred edits'!C101='Policy card'!$C$3,'Deferred edits'!B101='Policy card'!$C$3)),1,0)</f>
        <v>0</v>
      </c>
      <c r="G103" s="0" t="str">
        <f aca="false">IF(F103=1,H103,"")</f>
        <v/>
      </c>
      <c r="H103" s="0" t="n">
        <f aca="false">H102+F103</f>
        <v>1</v>
      </c>
      <c r="I103" s="0" t="n">
        <f aca="false">IF('Deferred edits'!G101="Waiting",1,0)</f>
        <v>0</v>
      </c>
      <c r="J103" s="0" t="str">
        <f aca="false">IF(I103=1,K103,"")</f>
        <v/>
      </c>
      <c r="K103" s="0" t="n">
        <f aca="false">K102+I103</f>
        <v>5</v>
      </c>
      <c r="L103" s="0" t="n">
        <f aca="false">IF(AND(Versions!B101&lt;&gt;"",Versions!B101='Policy card'!$C$3),1,0)</f>
        <v>0</v>
      </c>
      <c r="M103" s="0" t="str">
        <f aca="false">IF(L103=1,N103,"")</f>
        <v/>
      </c>
      <c r="N103" s="0" t="n">
        <f aca="false">N102+L103</f>
        <v>2</v>
      </c>
      <c r="P103" s="0" t="n">
        <f aca="false">IF(AND(Comments!B101='Policy card'!$C$3,Comments!N101="Closed"),1,0)</f>
        <v>0</v>
      </c>
      <c r="Q103" s="0" t="n">
        <f aca="false">Q102+P103</f>
        <v>7</v>
      </c>
    </row>
    <row r="104" customFormat="false" ht="15" hidden="false" customHeight="false" outlineLevel="0" collapsed="false">
      <c r="A104" s="0" t="str">
        <f aca="false">IF(OR(Drafts!A102="",Drafts!E102="Withdrawn",AND(Drafts!E102="Adopted",OR(Drafts!N102="Complete",Drafts!N102="Not needed"))),"",IFERROR(MATCH(Drafts!E102,StageList,0),99)*1000+102)</f>
        <v/>
      </c>
      <c r="C104" s="0" t="n">
        <f aca="false">IF(AND(Comments!B102='Policy card'!$C$3,Comments!N102="Open"),1,0)</f>
        <v>0</v>
      </c>
      <c r="D104" s="0" t="str">
        <f aca="false">IF(C104=1,E104,IF(P104=1,$E$2003+Q104,""))</f>
        <v/>
      </c>
      <c r="E104" s="0" t="n">
        <f aca="false">E103+C104</f>
        <v>0</v>
      </c>
      <c r="F104" s="0" t="n">
        <f aca="false">IF(AND('Deferred edits'!C102&lt;&gt;"",OR('Deferred edits'!C102='Policy card'!$C$3,'Deferred edits'!B102='Policy card'!$C$3)),1,0)</f>
        <v>0</v>
      </c>
      <c r="G104" s="0" t="str">
        <f aca="false">IF(F104=1,H104,"")</f>
        <v/>
      </c>
      <c r="H104" s="0" t="n">
        <f aca="false">H103+F104</f>
        <v>1</v>
      </c>
      <c r="I104" s="0" t="n">
        <f aca="false">IF('Deferred edits'!G102="Waiting",1,0)</f>
        <v>0</v>
      </c>
      <c r="J104" s="0" t="str">
        <f aca="false">IF(I104=1,K104,"")</f>
        <v/>
      </c>
      <c r="K104" s="0" t="n">
        <f aca="false">K103+I104</f>
        <v>5</v>
      </c>
      <c r="L104" s="0" t="n">
        <f aca="false">IF(AND(Versions!B102&lt;&gt;"",Versions!B102='Policy card'!$C$3),1,0)</f>
        <v>0</v>
      </c>
      <c r="M104" s="0" t="str">
        <f aca="false">IF(L104=1,N104,"")</f>
        <v/>
      </c>
      <c r="N104" s="0" t="n">
        <f aca="false">N103+L104</f>
        <v>2</v>
      </c>
      <c r="P104" s="0" t="n">
        <f aca="false">IF(AND(Comments!B102='Policy card'!$C$3,Comments!N102="Closed"),1,0)</f>
        <v>0</v>
      </c>
      <c r="Q104" s="0" t="n">
        <f aca="false">Q103+P104</f>
        <v>7</v>
      </c>
    </row>
    <row r="105" customFormat="false" ht="15" hidden="false" customHeight="false" outlineLevel="0" collapsed="false">
      <c r="A105" s="0" t="str">
        <f aca="false">IF(OR(Drafts!A103="",Drafts!E103="Withdrawn",AND(Drafts!E103="Adopted",OR(Drafts!N103="Complete",Drafts!N103="Not needed"))),"",IFERROR(MATCH(Drafts!E103,StageList,0),99)*1000+103)</f>
        <v/>
      </c>
      <c r="C105" s="0" t="n">
        <f aca="false">IF(AND(Comments!B103='Policy card'!$C$3,Comments!N103="Open"),1,0)</f>
        <v>0</v>
      </c>
      <c r="D105" s="0" t="str">
        <f aca="false">IF(C105=1,E105,IF(P105=1,$E$2003+Q105,""))</f>
        <v/>
      </c>
      <c r="E105" s="0" t="n">
        <f aca="false">E104+C105</f>
        <v>0</v>
      </c>
      <c r="F105" s="0" t="n">
        <f aca="false">IF(AND('Deferred edits'!C103&lt;&gt;"",OR('Deferred edits'!C103='Policy card'!$C$3,'Deferred edits'!B103='Policy card'!$C$3)),1,0)</f>
        <v>0</v>
      </c>
      <c r="G105" s="0" t="str">
        <f aca="false">IF(F105=1,H105,"")</f>
        <v/>
      </c>
      <c r="H105" s="0" t="n">
        <f aca="false">H104+F105</f>
        <v>1</v>
      </c>
      <c r="I105" s="0" t="n">
        <f aca="false">IF('Deferred edits'!G103="Waiting",1,0)</f>
        <v>0</v>
      </c>
      <c r="J105" s="0" t="str">
        <f aca="false">IF(I105=1,K105,"")</f>
        <v/>
      </c>
      <c r="K105" s="0" t="n">
        <f aca="false">K104+I105</f>
        <v>5</v>
      </c>
      <c r="L105" s="0" t="n">
        <f aca="false">IF(AND(Versions!B103&lt;&gt;"",Versions!B103='Policy card'!$C$3),1,0)</f>
        <v>0</v>
      </c>
      <c r="M105" s="0" t="str">
        <f aca="false">IF(L105=1,N105,"")</f>
        <v/>
      </c>
      <c r="N105" s="0" t="n">
        <f aca="false">N104+L105</f>
        <v>2</v>
      </c>
      <c r="P105" s="0" t="n">
        <f aca="false">IF(AND(Comments!B103='Policy card'!$C$3,Comments!N103="Closed"),1,0)</f>
        <v>0</v>
      </c>
      <c r="Q105" s="0" t="n">
        <f aca="false">Q104+P105</f>
        <v>7</v>
      </c>
    </row>
    <row r="106" customFormat="false" ht="15" hidden="false" customHeight="false" outlineLevel="0" collapsed="false">
      <c r="A106" s="0" t="str">
        <f aca="false">IF(OR(Drafts!A104="",Drafts!E104="Withdrawn",AND(Drafts!E104="Adopted",OR(Drafts!N104="Complete",Drafts!N104="Not needed"))),"",IFERROR(MATCH(Drafts!E104,StageList,0),99)*1000+104)</f>
        <v/>
      </c>
      <c r="C106" s="0" t="n">
        <f aca="false">IF(AND(Comments!B104='Policy card'!$C$3,Comments!N104="Open"),1,0)</f>
        <v>0</v>
      </c>
      <c r="D106" s="0" t="str">
        <f aca="false">IF(C106=1,E106,IF(P106=1,$E$2003+Q106,""))</f>
        <v/>
      </c>
      <c r="E106" s="0" t="n">
        <f aca="false">E105+C106</f>
        <v>0</v>
      </c>
      <c r="F106" s="0" t="n">
        <f aca="false">IF(AND('Deferred edits'!C104&lt;&gt;"",OR('Deferred edits'!C104='Policy card'!$C$3,'Deferred edits'!B104='Policy card'!$C$3)),1,0)</f>
        <v>0</v>
      </c>
      <c r="G106" s="0" t="str">
        <f aca="false">IF(F106=1,H106,"")</f>
        <v/>
      </c>
      <c r="H106" s="0" t="n">
        <f aca="false">H105+F106</f>
        <v>1</v>
      </c>
      <c r="I106" s="0" t="n">
        <f aca="false">IF('Deferred edits'!G104="Waiting",1,0)</f>
        <v>0</v>
      </c>
      <c r="J106" s="0" t="str">
        <f aca="false">IF(I106=1,K106,"")</f>
        <v/>
      </c>
      <c r="K106" s="0" t="n">
        <f aca="false">K105+I106</f>
        <v>5</v>
      </c>
      <c r="L106" s="0" t="n">
        <f aca="false">IF(AND(Versions!B104&lt;&gt;"",Versions!B104='Policy card'!$C$3),1,0)</f>
        <v>0</v>
      </c>
      <c r="M106" s="0" t="str">
        <f aca="false">IF(L106=1,N106,"")</f>
        <v/>
      </c>
      <c r="N106" s="0" t="n">
        <f aca="false">N105+L106</f>
        <v>2</v>
      </c>
      <c r="P106" s="0" t="n">
        <f aca="false">IF(AND(Comments!B104='Policy card'!$C$3,Comments!N104="Closed"),1,0)</f>
        <v>0</v>
      </c>
      <c r="Q106" s="0" t="n">
        <f aca="false">Q105+P106</f>
        <v>7</v>
      </c>
    </row>
    <row r="107" customFormat="false" ht="15" hidden="false" customHeight="false" outlineLevel="0" collapsed="false">
      <c r="A107" s="0" t="str">
        <f aca="false">IF(OR(Drafts!A105="",Drafts!E105="Withdrawn",AND(Drafts!E105="Adopted",OR(Drafts!N105="Complete",Drafts!N105="Not needed"))),"",IFERROR(MATCH(Drafts!E105,StageList,0),99)*1000+105)</f>
        <v/>
      </c>
      <c r="C107" s="0" t="n">
        <f aca="false">IF(AND(Comments!B105='Policy card'!$C$3,Comments!N105="Open"),1,0)</f>
        <v>0</v>
      </c>
      <c r="D107" s="0" t="str">
        <f aca="false">IF(C107=1,E107,IF(P107=1,$E$2003+Q107,""))</f>
        <v/>
      </c>
      <c r="E107" s="0" t="n">
        <f aca="false">E106+C107</f>
        <v>0</v>
      </c>
      <c r="F107" s="0" t="n">
        <f aca="false">IF(AND('Deferred edits'!C105&lt;&gt;"",OR('Deferred edits'!C105='Policy card'!$C$3,'Deferred edits'!B105='Policy card'!$C$3)),1,0)</f>
        <v>0</v>
      </c>
      <c r="G107" s="0" t="str">
        <f aca="false">IF(F107=1,H107,"")</f>
        <v/>
      </c>
      <c r="H107" s="0" t="n">
        <f aca="false">H106+F107</f>
        <v>1</v>
      </c>
      <c r="I107" s="0" t="n">
        <f aca="false">IF('Deferred edits'!G105="Waiting",1,0)</f>
        <v>0</v>
      </c>
      <c r="J107" s="0" t="str">
        <f aca="false">IF(I107=1,K107,"")</f>
        <v/>
      </c>
      <c r="K107" s="0" t="n">
        <f aca="false">K106+I107</f>
        <v>5</v>
      </c>
      <c r="L107" s="0" t="n">
        <f aca="false">IF(AND(Versions!B105&lt;&gt;"",Versions!B105='Policy card'!$C$3),1,0)</f>
        <v>0</v>
      </c>
      <c r="M107" s="0" t="str">
        <f aca="false">IF(L107=1,N107,"")</f>
        <v/>
      </c>
      <c r="N107" s="0" t="n">
        <f aca="false">N106+L107</f>
        <v>2</v>
      </c>
      <c r="P107" s="0" t="n">
        <f aca="false">IF(AND(Comments!B105='Policy card'!$C$3,Comments!N105="Closed"),1,0)</f>
        <v>0</v>
      </c>
      <c r="Q107" s="0" t="n">
        <f aca="false">Q106+P107</f>
        <v>7</v>
      </c>
    </row>
    <row r="108" customFormat="false" ht="15" hidden="false" customHeight="false" outlineLevel="0" collapsed="false">
      <c r="A108" s="0" t="str">
        <f aca="false">IF(OR(Drafts!A106="",Drafts!E106="Withdrawn",AND(Drafts!E106="Adopted",OR(Drafts!N106="Complete",Drafts!N106="Not needed"))),"",IFERROR(MATCH(Drafts!E106,StageList,0),99)*1000+106)</f>
        <v/>
      </c>
      <c r="C108" s="0" t="n">
        <f aca="false">IF(AND(Comments!B106='Policy card'!$C$3,Comments!N106="Open"),1,0)</f>
        <v>0</v>
      </c>
      <c r="D108" s="0" t="str">
        <f aca="false">IF(C108=1,E108,IF(P108=1,$E$2003+Q108,""))</f>
        <v/>
      </c>
      <c r="E108" s="0" t="n">
        <f aca="false">E107+C108</f>
        <v>0</v>
      </c>
      <c r="F108" s="0" t="n">
        <f aca="false">IF(AND('Deferred edits'!C106&lt;&gt;"",OR('Deferred edits'!C106='Policy card'!$C$3,'Deferred edits'!B106='Policy card'!$C$3)),1,0)</f>
        <v>0</v>
      </c>
      <c r="G108" s="0" t="str">
        <f aca="false">IF(F108=1,H108,"")</f>
        <v/>
      </c>
      <c r="H108" s="0" t="n">
        <f aca="false">H107+F108</f>
        <v>1</v>
      </c>
      <c r="I108" s="0" t="n">
        <f aca="false">IF('Deferred edits'!G106="Waiting",1,0)</f>
        <v>0</v>
      </c>
      <c r="J108" s="0" t="str">
        <f aca="false">IF(I108=1,K108,"")</f>
        <v/>
      </c>
      <c r="K108" s="0" t="n">
        <f aca="false">K107+I108</f>
        <v>5</v>
      </c>
      <c r="L108" s="0" t="n">
        <f aca="false">IF(AND(Versions!B106&lt;&gt;"",Versions!B106='Policy card'!$C$3),1,0)</f>
        <v>0</v>
      </c>
      <c r="M108" s="0" t="str">
        <f aca="false">IF(L108=1,N108,"")</f>
        <v/>
      </c>
      <c r="N108" s="0" t="n">
        <f aca="false">N107+L108</f>
        <v>2</v>
      </c>
      <c r="P108" s="0" t="n">
        <f aca="false">IF(AND(Comments!B106='Policy card'!$C$3,Comments!N106="Closed"),1,0)</f>
        <v>0</v>
      </c>
      <c r="Q108" s="0" t="n">
        <f aca="false">Q107+P108</f>
        <v>7</v>
      </c>
    </row>
    <row r="109" customFormat="false" ht="15" hidden="false" customHeight="false" outlineLevel="0" collapsed="false">
      <c r="A109" s="0" t="str">
        <f aca="false">IF(OR(Drafts!A107="",Drafts!E107="Withdrawn",AND(Drafts!E107="Adopted",OR(Drafts!N107="Complete",Drafts!N107="Not needed"))),"",IFERROR(MATCH(Drafts!E107,StageList,0),99)*1000+107)</f>
        <v/>
      </c>
      <c r="C109" s="0" t="n">
        <f aca="false">IF(AND(Comments!B107='Policy card'!$C$3,Comments!N107="Open"),1,0)</f>
        <v>0</v>
      </c>
      <c r="D109" s="0" t="str">
        <f aca="false">IF(C109=1,E109,IF(P109=1,$E$2003+Q109,""))</f>
        <v/>
      </c>
      <c r="E109" s="0" t="n">
        <f aca="false">E108+C109</f>
        <v>0</v>
      </c>
      <c r="F109" s="0" t="n">
        <f aca="false">IF(AND('Deferred edits'!C107&lt;&gt;"",OR('Deferred edits'!C107='Policy card'!$C$3,'Deferred edits'!B107='Policy card'!$C$3)),1,0)</f>
        <v>0</v>
      </c>
      <c r="G109" s="0" t="str">
        <f aca="false">IF(F109=1,H109,"")</f>
        <v/>
      </c>
      <c r="H109" s="0" t="n">
        <f aca="false">H108+F109</f>
        <v>1</v>
      </c>
      <c r="I109" s="0" t="n">
        <f aca="false">IF('Deferred edits'!G107="Waiting",1,0)</f>
        <v>0</v>
      </c>
      <c r="J109" s="0" t="str">
        <f aca="false">IF(I109=1,K109,"")</f>
        <v/>
      </c>
      <c r="K109" s="0" t="n">
        <f aca="false">K108+I109</f>
        <v>5</v>
      </c>
      <c r="L109" s="0" t="n">
        <f aca="false">IF(AND(Versions!B107&lt;&gt;"",Versions!B107='Policy card'!$C$3),1,0)</f>
        <v>0</v>
      </c>
      <c r="M109" s="0" t="str">
        <f aca="false">IF(L109=1,N109,"")</f>
        <v/>
      </c>
      <c r="N109" s="0" t="n">
        <f aca="false">N108+L109</f>
        <v>2</v>
      </c>
      <c r="P109" s="0" t="n">
        <f aca="false">IF(AND(Comments!B107='Policy card'!$C$3,Comments!N107="Closed"),1,0)</f>
        <v>0</v>
      </c>
      <c r="Q109" s="0" t="n">
        <f aca="false">Q108+P109</f>
        <v>7</v>
      </c>
    </row>
    <row r="110" customFormat="false" ht="15" hidden="false" customHeight="false" outlineLevel="0" collapsed="false">
      <c r="A110" s="0" t="str">
        <f aca="false">IF(OR(Drafts!A108="",Drafts!E108="Withdrawn",AND(Drafts!E108="Adopted",OR(Drafts!N108="Complete",Drafts!N108="Not needed"))),"",IFERROR(MATCH(Drafts!E108,StageList,0),99)*1000+108)</f>
        <v/>
      </c>
      <c r="C110" s="0" t="n">
        <f aca="false">IF(AND(Comments!B108='Policy card'!$C$3,Comments!N108="Open"),1,0)</f>
        <v>0</v>
      </c>
      <c r="D110" s="0" t="str">
        <f aca="false">IF(C110=1,E110,IF(P110=1,$E$2003+Q110,""))</f>
        <v/>
      </c>
      <c r="E110" s="0" t="n">
        <f aca="false">E109+C110</f>
        <v>0</v>
      </c>
      <c r="F110" s="0" t="n">
        <f aca="false">IF(AND('Deferred edits'!C108&lt;&gt;"",OR('Deferred edits'!C108='Policy card'!$C$3,'Deferred edits'!B108='Policy card'!$C$3)),1,0)</f>
        <v>0</v>
      </c>
      <c r="G110" s="0" t="str">
        <f aca="false">IF(F110=1,H110,"")</f>
        <v/>
      </c>
      <c r="H110" s="0" t="n">
        <f aca="false">H109+F110</f>
        <v>1</v>
      </c>
      <c r="I110" s="0" t="n">
        <f aca="false">IF('Deferred edits'!G108="Waiting",1,0)</f>
        <v>0</v>
      </c>
      <c r="J110" s="0" t="str">
        <f aca="false">IF(I110=1,K110,"")</f>
        <v/>
      </c>
      <c r="K110" s="0" t="n">
        <f aca="false">K109+I110</f>
        <v>5</v>
      </c>
      <c r="L110" s="0" t="n">
        <f aca="false">IF(AND(Versions!B108&lt;&gt;"",Versions!B108='Policy card'!$C$3),1,0)</f>
        <v>0</v>
      </c>
      <c r="M110" s="0" t="str">
        <f aca="false">IF(L110=1,N110,"")</f>
        <v/>
      </c>
      <c r="N110" s="0" t="n">
        <f aca="false">N109+L110</f>
        <v>2</v>
      </c>
      <c r="P110" s="0" t="n">
        <f aca="false">IF(AND(Comments!B108='Policy card'!$C$3,Comments!N108="Closed"),1,0)</f>
        <v>0</v>
      </c>
      <c r="Q110" s="0" t="n">
        <f aca="false">Q109+P110</f>
        <v>7</v>
      </c>
    </row>
    <row r="111" customFormat="false" ht="15" hidden="false" customHeight="false" outlineLevel="0" collapsed="false">
      <c r="A111" s="0" t="str">
        <f aca="false">IF(OR(Drafts!A109="",Drafts!E109="Withdrawn",AND(Drafts!E109="Adopted",OR(Drafts!N109="Complete",Drafts!N109="Not needed"))),"",IFERROR(MATCH(Drafts!E109,StageList,0),99)*1000+109)</f>
        <v/>
      </c>
      <c r="C111" s="0" t="n">
        <f aca="false">IF(AND(Comments!B109='Policy card'!$C$3,Comments!N109="Open"),1,0)</f>
        <v>0</v>
      </c>
      <c r="D111" s="0" t="str">
        <f aca="false">IF(C111=1,E111,IF(P111=1,$E$2003+Q111,""))</f>
        <v/>
      </c>
      <c r="E111" s="0" t="n">
        <f aca="false">E110+C111</f>
        <v>0</v>
      </c>
      <c r="F111" s="0" t="n">
        <f aca="false">IF(AND('Deferred edits'!C109&lt;&gt;"",OR('Deferred edits'!C109='Policy card'!$C$3,'Deferred edits'!B109='Policy card'!$C$3)),1,0)</f>
        <v>0</v>
      </c>
      <c r="G111" s="0" t="str">
        <f aca="false">IF(F111=1,H111,"")</f>
        <v/>
      </c>
      <c r="H111" s="0" t="n">
        <f aca="false">H110+F111</f>
        <v>1</v>
      </c>
      <c r="I111" s="0" t="n">
        <f aca="false">IF('Deferred edits'!G109="Waiting",1,0)</f>
        <v>0</v>
      </c>
      <c r="J111" s="0" t="str">
        <f aca="false">IF(I111=1,K111,"")</f>
        <v/>
      </c>
      <c r="K111" s="0" t="n">
        <f aca="false">K110+I111</f>
        <v>5</v>
      </c>
      <c r="L111" s="0" t="n">
        <f aca="false">IF(AND(Versions!B109&lt;&gt;"",Versions!B109='Policy card'!$C$3),1,0)</f>
        <v>0</v>
      </c>
      <c r="M111" s="0" t="str">
        <f aca="false">IF(L111=1,N111,"")</f>
        <v/>
      </c>
      <c r="N111" s="0" t="n">
        <f aca="false">N110+L111</f>
        <v>2</v>
      </c>
      <c r="P111" s="0" t="n">
        <f aca="false">IF(AND(Comments!B109='Policy card'!$C$3,Comments!N109="Closed"),1,0)</f>
        <v>0</v>
      </c>
      <c r="Q111" s="0" t="n">
        <f aca="false">Q110+P111</f>
        <v>7</v>
      </c>
    </row>
    <row r="112" customFormat="false" ht="15" hidden="false" customHeight="false" outlineLevel="0" collapsed="false">
      <c r="A112" s="0" t="str">
        <f aca="false">IF(OR(Drafts!A110="",Drafts!E110="Withdrawn",AND(Drafts!E110="Adopted",OR(Drafts!N110="Complete",Drafts!N110="Not needed"))),"",IFERROR(MATCH(Drafts!E110,StageList,0),99)*1000+110)</f>
        <v/>
      </c>
      <c r="C112" s="0" t="n">
        <f aca="false">IF(AND(Comments!B110='Policy card'!$C$3,Comments!N110="Open"),1,0)</f>
        <v>0</v>
      </c>
      <c r="D112" s="0" t="str">
        <f aca="false">IF(C112=1,E112,IF(P112=1,$E$2003+Q112,""))</f>
        <v/>
      </c>
      <c r="E112" s="0" t="n">
        <f aca="false">E111+C112</f>
        <v>0</v>
      </c>
      <c r="F112" s="0" t="n">
        <f aca="false">IF(AND('Deferred edits'!C110&lt;&gt;"",OR('Deferred edits'!C110='Policy card'!$C$3,'Deferred edits'!B110='Policy card'!$C$3)),1,0)</f>
        <v>0</v>
      </c>
      <c r="G112" s="0" t="str">
        <f aca="false">IF(F112=1,H112,"")</f>
        <v/>
      </c>
      <c r="H112" s="0" t="n">
        <f aca="false">H111+F112</f>
        <v>1</v>
      </c>
      <c r="I112" s="0" t="n">
        <f aca="false">IF('Deferred edits'!G110="Waiting",1,0)</f>
        <v>0</v>
      </c>
      <c r="J112" s="0" t="str">
        <f aca="false">IF(I112=1,K112,"")</f>
        <v/>
      </c>
      <c r="K112" s="0" t="n">
        <f aca="false">K111+I112</f>
        <v>5</v>
      </c>
      <c r="L112" s="0" t="n">
        <f aca="false">IF(AND(Versions!B110&lt;&gt;"",Versions!B110='Policy card'!$C$3),1,0)</f>
        <v>0</v>
      </c>
      <c r="M112" s="0" t="str">
        <f aca="false">IF(L112=1,N112,"")</f>
        <v/>
      </c>
      <c r="N112" s="0" t="n">
        <f aca="false">N111+L112</f>
        <v>2</v>
      </c>
      <c r="P112" s="0" t="n">
        <f aca="false">IF(AND(Comments!B110='Policy card'!$C$3,Comments!N110="Closed"),1,0)</f>
        <v>0</v>
      </c>
      <c r="Q112" s="0" t="n">
        <f aca="false">Q111+P112</f>
        <v>7</v>
      </c>
    </row>
    <row r="113" customFormat="false" ht="15" hidden="false" customHeight="false" outlineLevel="0" collapsed="false">
      <c r="A113" s="0" t="str">
        <f aca="false">IF(OR(Drafts!A111="",Drafts!E111="Withdrawn",AND(Drafts!E111="Adopted",OR(Drafts!N111="Complete",Drafts!N111="Not needed"))),"",IFERROR(MATCH(Drafts!E111,StageList,0),99)*1000+111)</f>
        <v/>
      </c>
      <c r="C113" s="0" t="n">
        <f aca="false">IF(AND(Comments!B111='Policy card'!$C$3,Comments!N111="Open"),1,0)</f>
        <v>0</v>
      </c>
      <c r="D113" s="0" t="str">
        <f aca="false">IF(C113=1,E113,IF(P113=1,$E$2003+Q113,""))</f>
        <v/>
      </c>
      <c r="E113" s="0" t="n">
        <f aca="false">E112+C113</f>
        <v>0</v>
      </c>
      <c r="F113" s="0" t="n">
        <f aca="false">IF(AND('Deferred edits'!C111&lt;&gt;"",OR('Deferred edits'!C111='Policy card'!$C$3,'Deferred edits'!B111='Policy card'!$C$3)),1,0)</f>
        <v>0</v>
      </c>
      <c r="G113" s="0" t="str">
        <f aca="false">IF(F113=1,H113,"")</f>
        <v/>
      </c>
      <c r="H113" s="0" t="n">
        <f aca="false">H112+F113</f>
        <v>1</v>
      </c>
      <c r="I113" s="0" t="n">
        <f aca="false">IF('Deferred edits'!G111="Waiting",1,0)</f>
        <v>0</v>
      </c>
      <c r="J113" s="0" t="str">
        <f aca="false">IF(I113=1,K113,"")</f>
        <v/>
      </c>
      <c r="K113" s="0" t="n">
        <f aca="false">K112+I113</f>
        <v>5</v>
      </c>
      <c r="L113" s="0" t="n">
        <f aca="false">IF(AND(Versions!B111&lt;&gt;"",Versions!B111='Policy card'!$C$3),1,0)</f>
        <v>0</v>
      </c>
      <c r="M113" s="0" t="str">
        <f aca="false">IF(L113=1,N113,"")</f>
        <v/>
      </c>
      <c r="N113" s="0" t="n">
        <f aca="false">N112+L113</f>
        <v>2</v>
      </c>
      <c r="P113" s="0" t="n">
        <f aca="false">IF(AND(Comments!B111='Policy card'!$C$3,Comments!N111="Closed"),1,0)</f>
        <v>0</v>
      </c>
      <c r="Q113" s="0" t="n">
        <f aca="false">Q112+P113</f>
        <v>7</v>
      </c>
    </row>
    <row r="114" customFormat="false" ht="15" hidden="false" customHeight="false" outlineLevel="0" collapsed="false">
      <c r="A114" s="0" t="str">
        <f aca="false">IF(OR(Drafts!A112="",Drafts!E112="Withdrawn",AND(Drafts!E112="Adopted",OR(Drafts!N112="Complete",Drafts!N112="Not needed"))),"",IFERROR(MATCH(Drafts!E112,StageList,0),99)*1000+112)</f>
        <v/>
      </c>
      <c r="C114" s="0" t="n">
        <f aca="false">IF(AND(Comments!B112='Policy card'!$C$3,Comments!N112="Open"),1,0)</f>
        <v>0</v>
      </c>
      <c r="D114" s="0" t="str">
        <f aca="false">IF(C114=1,E114,IF(P114=1,$E$2003+Q114,""))</f>
        <v/>
      </c>
      <c r="E114" s="0" t="n">
        <f aca="false">E113+C114</f>
        <v>0</v>
      </c>
      <c r="F114" s="0" t="n">
        <f aca="false">IF(AND('Deferred edits'!C112&lt;&gt;"",OR('Deferred edits'!C112='Policy card'!$C$3,'Deferred edits'!B112='Policy card'!$C$3)),1,0)</f>
        <v>0</v>
      </c>
      <c r="G114" s="0" t="str">
        <f aca="false">IF(F114=1,H114,"")</f>
        <v/>
      </c>
      <c r="H114" s="0" t="n">
        <f aca="false">H113+F114</f>
        <v>1</v>
      </c>
      <c r="I114" s="0" t="n">
        <f aca="false">IF('Deferred edits'!G112="Waiting",1,0)</f>
        <v>0</v>
      </c>
      <c r="J114" s="0" t="str">
        <f aca="false">IF(I114=1,K114,"")</f>
        <v/>
      </c>
      <c r="K114" s="0" t="n">
        <f aca="false">K113+I114</f>
        <v>5</v>
      </c>
      <c r="L114" s="0" t="n">
        <f aca="false">IF(AND(Versions!B112&lt;&gt;"",Versions!B112='Policy card'!$C$3),1,0)</f>
        <v>0</v>
      </c>
      <c r="M114" s="0" t="str">
        <f aca="false">IF(L114=1,N114,"")</f>
        <v/>
      </c>
      <c r="N114" s="0" t="n">
        <f aca="false">N113+L114</f>
        <v>2</v>
      </c>
      <c r="P114" s="0" t="n">
        <f aca="false">IF(AND(Comments!B112='Policy card'!$C$3,Comments!N112="Closed"),1,0)</f>
        <v>0</v>
      </c>
      <c r="Q114" s="0" t="n">
        <f aca="false">Q113+P114</f>
        <v>7</v>
      </c>
    </row>
    <row r="115" customFormat="false" ht="15" hidden="false" customHeight="false" outlineLevel="0" collapsed="false">
      <c r="A115" s="0" t="str">
        <f aca="false">IF(OR(Drafts!A113="",Drafts!E113="Withdrawn",AND(Drafts!E113="Adopted",OR(Drafts!N113="Complete",Drafts!N113="Not needed"))),"",IFERROR(MATCH(Drafts!E113,StageList,0),99)*1000+113)</f>
        <v/>
      </c>
      <c r="C115" s="0" t="n">
        <f aca="false">IF(AND(Comments!B113='Policy card'!$C$3,Comments!N113="Open"),1,0)</f>
        <v>0</v>
      </c>
      <c r="D115" s="0" t="str">
        <f aca="false">IF(C115=1,E115,IF(P115=1,$E$2003+Q115,""))</f>
        <v/>
      </c>
      <c r="E115" s="0" t="n">
        <f aca="false">E114+C115</f>
        <v>0</v>
      </c>
      <c r="F115" s="0" t="n">
        <f aca="false">IF(AND('Deferred edits'!C113&lt;&gt;"",OR('Deferred edits'!C113='Policy card'!$C$3,'Deferred edits'!B113='Policy card'!$C$3)),1,0)</f>
        <v>0</v>
      </c>
      <c r="G115" s="0" t="str">
        <f aca="false">IF(F115=1,H115,"")</f>
        <v/>
      </c>
      <c r="H115" s="0" t="n">
        <f aca="false">H114+F115</f>
        <v>1</v>
      </c>
      <c r="I115" s="0" t="n">
        <f aca="false">IF('Deferred edits'!G113="Waiting",1,0)</f>
        <v>0</v>
      </c>
      <c r="J115" s="0" t="str">
        <f aca="false">IF(I115=1,K115,"")</f>
        <v/>
      </c>
      <c r="K115" s="0" t="n">
        <f aca="false">K114+I115</f>
        <v>5</v>
      </c>
      <c r="L115" s="0" t="n">
        <f aca="false">IF(AND(Versions!B113&lt;&gt;"",Versions!B113='Policy card'!$C$3),1,0)</f>
        <v>0</v>
      </c>
      <c r="M115" s="0" t="str">
        <f aca="false">IF(L115=1,N115,"")</f>
        <v/>
      </c>
      <c r="N115" s="0" t="n">
        <f aca="false">N114+L115</f>
        <v>2</v>
      </c>
      <c r="P115" s="0" t="n">
        <f aca="false">IF(AND(Comments!B113='Policy card'!$C$3,Comments!N113="Closed"),1,0)</f>
        <v>0</v>
      </c>
      <c r="Q115" s="0" t="n">
        <f aca="false">Q114+P115</f>
        <v>7</v>
      </c>
    </row>
    <row r="116" customFormat="false" ht="15" hidden="false" customHeight="false" outlineLevel="0" collapsed="false">
      <c r="A116" s="0" t="str">
        <f aca="false">IF(OR(Drafts!A114="",Drafts!E114="Withdrawn",AND(Drafts!E114="Adopted",OR(Drafts!N114="Complete",Drafts!N114="Not needed"))),"",IFERROR(MATCH(Drafts!E114,StageList,0),99)*1000+114)</f>
        <v/>
      </c>
      <c r="C116" s="0" t="n">
        <f aca="false">IF(AND(Comments!B114='Policy card'!$C$3,Comments!N114="Open"),1,0)</f>
        <v>0</v>
      </c>
      <c r="D116" s="0" t="str">
        <f aca="false">IF(C116=1,E116,IF(P116=1,$E$2003+Q116,""))</f>
        <v/>
      </c>
      <c r="E116" s="0" t="n">
        <f aca="false">E115+C116</f>
        <v>0</v>
      </c>
      <c r="F116" s="0" t="n">
        <f aca="false">IF(AND('Deferred edits'!C114&lt;&gt;"",OR('Deferred edits'!C114='Policy card'!$C$3,'Deferred edits'!B114='Policy card'!$C$3)),1,0)</f>
        <v>0</v>
      </c>
      <c r="G116" s="0" t="str">
        <f aca="false">IF(F116=1,H116,"")</f>
        <v/>
      </c>
      <c r="H116" s="0" t="n">
        <f aca="false">H115+F116</f>
        <v>1</v>
      </c>
      <c r="I116" s="0" t="n">
        <f aca="false">IF('Deferred edits'!G114="Waiting",1,0)</f>
        <v>0</v>
      </c>
      <c r="J116" s="0" t="str">
        <f aca="false">IF(I116=1,K116,"")</f>
        <v/>
      </c>
      <c r="K116" s="0" t="n">
        <f aca="false">K115+I116</f>
        <v>5</v>
      </c>
      <c r="L116" s="0" t="n">
        <f aca="false">IF(AND(Versions!B114&lt;&gt;"",Versions!B114='Policy card'!$C$3),1,0)</f>
        <v>0</v>
      </c>
      <c r="M116" s="0" t="str">
        <f aca="false">IF(L116=1,N116,"")</f>
        <v/>
      </c>
      <c r="N116" s="0" t="n">
        <f aca="false">N115+L116</f>
        <v>2</v>
      </c>
      <c r="P116" s="0" t="n">
        <f aca="false">IF(AND(Comments!B114='Policy card'!$C$3,Comments!N114="Closed"),1,0)</f>
        <v>0</v>
      </c>
      <c r="Q116" s="0" t="n">
        <f aca="false">Q115+P116</f>
        <v>7</v>
      </c>
    </row>
    <row r="117" customFormat="false" ht="15" hidden="false" customHeight="false" outlineLevel="0" collapsed="false">
      <c r="A117" s="0" t="str">
        <f aca="false">IF(OR(Drafts!A115="",Drafts!E115="Withdrawn",AND(Drafts!E115="Adopted",OR(Drafts!N115="Complete",Drafts!N115="Not needed"))),"",IFERROR(MATCH(Drafts!E115,StageList,0),99)*1000+115)</f>
        <v/>
      </c>
      <c r="C117" s="0" t="n">
        <f aca="false">IF(AND(Comments!B115='Policy card'!$C$3,Comments!N115="Open"),1,0)</f>
        <v>0</v>
      </c>
      <c r="D117" s="0" t="str">
        <f aca="false">IF(C117=1,E117,IF(P117=1,$E$2003+Q117,""))</f>
        <v/>
      </c>
      <c r="E117" s="0" t="n">
        <f aca="false">E116+C117</f>
        <v>0</v>
      </c>
      <c r="F117" s="0" t="n">
        <f aca="false">IF(AND('Deferred edits'!C115&lt;&gt;"",OR('Deferred edits'!C115='Policy card'!$C$3,'Deferred edits'!B115='Policy card'!$C$3)),1,0)</f>
        <v>0</v>
      </c>
      <c r="G117" s="0" t="str">
        <f aca="false">IF(F117=1,H117,"")</f>
        <v/>
      </c>
      <c r="H117" s="0" t="n">
        <f aca="false">H116+F117</f>
        <v>1</v>
      </c>
      <c r="I117" s="0" t="n">
        <f aca="false">IF('Deferred edits'!G115="Waiting",1,0)</f>
        <v>0</v>
      </c>
      <c r="J117" s="0" t="str">
        <f aca="false">IF(I117=1,K117,"")</f>
        <v/>
      </c>
      <c r="K117" s="0" t="n">
        <f aca="false">K116+I117</f>
        <v>5</v>
      </c>
      <c r="L117" s="0" t="n">
        <f aca="false">IF(AND(Versions!B115&lt;&gt;"",Versions!B115='Policy card'!$C$3),1,0)</f>
        <v>0</v>
      </c>
      <c r="M117" s="0" t="str">
        <f aca="false">IF(L117=1,N117,"")</f>
        <v/>
      </c>
      <c r="N117" s="0" t="n">
        <f aca="false">N116+L117</f>
        <v>2</v>
      </c>
      <c r="P117" s="0" t="n">
        <f aca="false">IF(AND(Comments!B115='Policy card'!$C$3,Comments!N115="Closed"),1,0)</f>
        <v>0</v>
      </c>
      <c r="Q117" s="0" t="n">
        <f aca="false">Q116+P117</f>
        <v>7</v>
      </c>
    </row>
    <row r="118" customFormat="false" ht="15" hidden="false" customHeight="false" outlineLevel="0" collapsed="false">
      <c r="A118" s="0" t="str">
        <f aca="false">IF(OR(Drafts!A116="",Drafts!E116="Withdrawn",AND(Drafts!E116="Adopted",OR(Drafts!N116="Complete",Drafts!N116="Not needed"))),"",IFERROR(MATCH(Drafts!E116,StageList,0),99)*1000+116)</f>
        <v/>
      </c>
      <c r="C118" s="0" t="n">
        <f aca="false">IF(AND(Comments!B116='Policy card'!$C$3,Comments!N116="Open"),1,0)</f>
        <v>0</v>
      </c>
      <c r="D118" s="0" t="str">
        <f aca="false">IF(C118=1,E118,IF(P118=1,$E$2003+Q118,""))</f>
        <v/>
      </c>
      <c r="E118" s="0" t="n">
        <f aca="false">E117+C118</f>
        <v>0</v>
      </c>
      <c r="F118" s="0" t="n">
        <f aca="false">IF(AND('Deferred edits'!C116&lt;&gt;"",OR('Deferred edits'!C116='Policy card'!$C$3,'Deferred edits'!B116='Policy card'!$C$3)),1,0)</f>
        <v>0</v>
      </c>
      <c r="G118" s="0" t="str">
        <f aca="false">IF(F118=1,H118,"")</f>
        <v/>
      </c>
      <c r="H118" s="0" t="n">
        <f aca="false">H117+F118</f>
        <v>1</v>
      </c>
      <c r="I118" s="0" t="n">
        <f aca="false">IF('Deferred edits'!G116="Waiting",1,0)</f>
        <v>0</v>
      </c>
      <c r="J118" s="0" t="str">
        <f aca="false">IF(I118=1,K118,"")</f>
        <v/>
      </c>
      <c r="K118" s="0" t="n">
        <f aca="false">K117+I118</f>
        <v>5</v>
      </c>
      <c r="L118" s="0" t="n">
        <f aca="false">IF(AND(Versions!B116&lt;&gt;"",Versions!B116='Policy card'!$C$3),1,0)</f>
        <v>0</v>
      </c>
      <c r="M118" s="0" t="str">
        <f aca="false">IF(L118=1,N118,"")</f>
        <v/>
      </c>
      <c r="N118" s="0" t="n">
        <f aca="false">N117+L118</f>
        <v>2</v>
      </c>
      <c r="P118" s="0" t="n">
        <f aca="false">IF(AND(Comments!B116='Policy card'!$C$3,Comments!N116="Closed"),1,0)</f>
        <v>0</v>
      </c>
      <c r="Q118" s="0" t="n">
        <f aca="false">Q117+P118</f>
        <v>7</v>
      </c>
    </row>
    <row r="119" customFormat="false" ht="15" hidden="false" customHeight="false" outlineLevel="0" collapsed="false">
      <c r="A119" s="0" t="str">
        <f aca="false">IF(OR(Drafts!A117="",Drafts!E117="Withdrawn",AND(Drafts!E117="Adopted",OR(Drafts!N117="Complete",Drafts!N117="Not needed"))),"",IFERROR(MATCH(Drafts!E117,StageList,0),99)*1000+117)</f>
        <v/>
      </c>
      <c r="C119" s="0" t="n">
        <f aca="false">IF(AND(Comments!B117='Policy card'!$C$3,Comments!N117="Open"),1,0)</f>
        <v>0</v>
      </c>
      <c r="D119" s="0" t="str">
        <f aca="false">IF(C119=1,E119,IF(P119=1,$E$2003+Q119,""))</f>
        <v/>
      </c>
      <c r="E119" s="0" t="n">
        <f aca="false">E118+C119</f>
        <v>0</v>
      </c>
      <c r="F119" s="0" t="n">
        <f aca="false">IF(AND('Deferred edits'!C117&lt;&gt;"",OR('Deferred edits'!C117='Policy card'!$C$3,'Deferred edits'!B117='Policy card'!$C$3)),1,0)</f>
        <v>0</v>
      </c>
      <c r="G119" s="0" t="str">
        <f aca="false">IF(F119=1,H119,"")</f>
        <v/>
      </c>
      <c r="H119" s="0" t="n">
        <f aca="false">H118+F119</f>
        <v>1</v>
      </c>
      <c r="I119" s="0" t="n">
        <f aca="false">IF('Deferred edits'!G117="Waiting",1,0)</f>
        <v>0</v>
      </c>
      <c r="J119" s="0" t="str">
        <f aca="false">IF(I119=1,K119,"")</f>
        <v/>
      </c>
      <c r="K119" s="0" t="n">
        <f aca="false">K118+I119</f>
        <v>5</v>
      </c>
      <c r="L119" s="0" t="n">
        <f aca="false">IF(AND(Versions!B117&lt;&gt;"",Versions!B117='Policy card'!$C$3),1,0)</f>
        <v>0</v>
      </c>
      <c r="M119" s="0" t="str">
        <f aca="false">IF(L119=1,N119,"")</f>
        <v/>
      </c>
      <c r="N119" s="0" t="n">
        <f aca="false">N118+L119</f>
        <v>2</v>
      </c>
      <c r="P119" s="0" t="n">
        <f aca="false">IF(AND(Comments!B117='Policy card'!$C$3,Comments!N117="Closed"),1,0)</f>
        <v>0</v>
      </c>
      <c r="Q119" s="0" t="n">
        <f aca="false">Q118+P119</f>
        <v>7</v>
      </c>
    </row>
    <row r="120" customFormat="false" ht="15" hidden="false" customHeight="false" outlineLevel="0" collapsed="false">
      <c r="A120" s="0" t="str">
        <f aca="false">IF(OR(Drafts!A118="",Drafts!E118="Withdrawn",AND(Drafts!E118="Adopted",OR(Drafts!N118="Complete",Drafts!N118="Not needed"))),"",IFERROR(MATCH(Drafts!E118,StageList,0),99)*1000+118)</f>
        <v/>
      </c>
      <c r="C120" s="0" t="n">
        <f aca="false">IF(AND(Comments!B118='Policy card'!$C$3,Comments!N118="Open"),1,0)</f>
        <v>0</v>
      </c>
      <c r="D120" s="0" t="str">
        <f aca="false">IF(C120=1,E120,IF(P120=1,$E$2003+Q120,""))</f>
        <v/>
      </c>
      <c r="E120" s="0" t="n">
        <f aca="false">E119+C120</f>
        <v>0</v>
      </c>
      <c r="F120" s="0" t="n">
        <f aca="false">IF(AND('Deferred edits'!C118&lt;&gt;"",OR('Deferred edits'!C118='Policy card'!$C$3,'Deferred edits'!B118='Policy card'!$C$3)),1,0)</f>
        <v>0</v>
      </c>
      <c r="G120" s="0" t="str">
        <f aca="false">IF(F120=1,H120,"")</f>
        <v/>
      </c>
      <c r="H120" s="0" t="n">
        <f aca="false">H119+F120</f>
        <v>1</v>
      </c>
      <c r="I120" s="0" t="n">
        <f aca="false">IF('Deferred edits'!G118="Waiting",1,0)</f>
        <v>0</v>
      </c>
      <c r="J120" s="0" t="str">
        <f aca="false">IF(I120=1,K120,"")</f>
        <v/>
      </c>
      <c r="K120" s="0" t="n">
        <f aca="false">K119+I120</f>
        <v>5</v>
      </c>
      <c r="L120" s="0" t="n">
        <f aca="false">IF(AND(Versions!B118&lt;&gt;"",Versions!B118='Policy card'!$C$3),1,0)</f>
        <v>0</v>
      </c>
      <c r="M120" s="0" t="str">
        <f aca="false">IF(L120=1,N120,"")</f>
        <v/>
      </c>
      <c r="N120" s="0" t="n">
        <f aca="false">N119+L120</f>
        <v>2</v>
      </c>
      <c r="P120" s="0" t="n">
        <f aca="false">IF(AND(Comments!B118='Policy card'!$C$3,Comments!N118="Closed"),1,0)</f>
        <v>0</v>
      </c>
      <c r="Q120" s="0" t="n">
        <f aca="false">Q119+P120</f>
        <v>7</v>
      </c>
    </row>
    <row r="121" customFormat="false" ht="15" hidden="false" customHeight="false" outlineLevel="0" collapsed="false">
      <c r="A121" s="0" t="str">
        <f aca="false">IF(OR(Drafts!A119="",Drafts!E119="Withdrawn",AND(Drafts!E119="Adopted",OR(Drafts!N119="Complete",Drafts!N119="Not needed"))),"",IFERROR(MATCH(Drafts!E119,StageList,0),99)*1000+119)</f>
        <v/>
      </c>
      <c r="C121" s="0" t="n">
        <f aca="false">IF(AND(Comments!B119='Policy card'!$C$3,Comments!N119="Open"),1,0)</f>
        <v>0</v>
      </c>
      <c r="D121" s="0" t="str">
        <f aca="false">IF(C121=1,E121,IF(P121=1,$E$2003+Q121,""))</f>
        <v/>
      </c>
      <c r="E121" s="0" t="n">
        <f aca="false">E120+C121</f>
        <v>0</v>
      </c>
      <c r="F121" s="0" t="n">
        <f aca="false">IF(AND('Deferred edits'!C119&lt;&gt;"",OR('Deferred edits'!C119='Policy card'!$C$3,'Deferred edits'!B119='Policy card'!$C$3)),1,0)</f>
        <v>0</v>
      </c>
      <c r="G121" s="0" t="str">
        <f aca="false">IF(F121=1,H121,"")</f>
        <v/>
      </c>
      <c r="H121" s="0" t="n">
        <f aca="false">H120+F121</f>
        <v>1</v>
      </c>
      <c r="I121" s="0" t="n">
        <f aca="false">IF('Deferred edits'!G119="Waiting",1,0)</f>
        <v>0</v>
      </c>
      <c r="J121" s="0" t="str">
        <f aca="false">IF(I121=1,K121,"")</f>
        <v/>
      </c>
      <c r="K121" s="0" t="n">
        <f aca="false">K120+I121</f>
        <v>5</v>
      </c>
      <c r="L121" s="0" t="n">
        <f aca="false">IF(AND(Versions!B119&lt;&gt;"",Versions!B119='Policy card'!$C$3),1,0)</f>
        <v>0</v>
      </c>
      <c r="M121" s="0" t="str">
        <f aca="false">IF(L121=1,N121,"")</f>
        <v/>
      </c>
      <c r="N121" s="0" t="n">
        <f aca="false">N120+L121</f>
        <v>2</v>
      </c>
      <c r="P121" s="0" t="n">
        <f aca="false">IF(AND(Comments!B119='Policy card'!$C$3,Comments!N119="Closed"),1,0)</f>
        <v>0</v>
      </c>
      <c r="Q121" s="0" t="n">
        <f aca="false">Q120+P121</f>
        <v>7</v>
      </c>
    </row>
    <row r="122" customFormat="false" ht="15" hidden="false" customHeight="false" outlineLevel="0" collapsed="false">
      <c r="A122" s="0" t="str">
        <f aca="false">IF(OR(Drafts!A120="",Drafts!E120="Withdrawn",AND(Drafts!E120="Adopted",OR(Drafts!N120="Complete",Drafts!N120="Not needed"))),"",IFERROR(MATCH(Drafts!E120,StageList,0),99)*1000+120)</f>
        <v/>
      </c>
      <c r="C122" s="0" t="n">
        <f aca="false">IF(AND(Comments!B120='Policy card'!$C$3,Comments!N120="Open"),1,0)</f>
        <v>0</v>
      </c>
      <c r="D122" s="0" t="str">
        <f aca="false">IF(C122=1,E122,IF(P122=1,$E$2003+Q122,""))</f>
        <v/>
      </c>
      <c r="E122" s="0" t="n">
        <f aca="false">E121+C122</f>
        <v>0</v>
      </c>
      <c r="F122" s="0" t="n">
        <f aca="false">IF(AND('Deferred edits'!C120&lt;&gt;"",OR('Deferred edits'!C120='Policy card'!$C$3,'Deferred edits'!B120='Policy card'!$C$3)),1,0)</f>
        <v>0</v>
      </c>
      <c r="G122" s="0" t="str">
        <f aca="false">IF(F122=1,H122,"")</f>
        <v/>
      </c>
      <c r="H122" s="0" t="n">
        <f aca="false">H121+F122</f>
        <v>1</v>
      </c>
      <c r="I122" s="0" t="n">
        <f aca="false">IF('Deferred edits'!G120="Waiting",1,0)</f>
        <v>0</v>
      </c>
      <c r="J122" s="0" t="str">
        <f aca="false">IF(I122=1,K122,"")</f>
        <v/>
      </c>
      <c r="K122" s="0" t="n">
        <f aca="false">K121+I122</f>
        <v>5</v>
      </c>
      <c r="L122" s="0" t="n">
        <f aca="false">IF(AND(Versions!B120&lt;&gt;"",Versions!B120='Policy card'!$C$3),1,0)</f>
        <v>0</v>
      </c>
      <c r="M122" s="0" t="str">
        <f aca="false">IF(L122=1,N122,"")</f>
        <v/>
      </c>
      <c r="N122" s="0" t="n">
        <f aca="false">N121+L122</f>
        <v>2</v>
      </c>
      <c r="P122" s="0" t="n">
        <f aca="false">IF(AND(Comments!B120='Policy card'!$C$3,Comments!N120="Closed"),1,0)</f>
        <v>0</v>
      </c>
      <c r="Q122" s="0" t="n">
        <f aca="false">Q121+P122</f>
        <v>7</v>
      </c>
    </row>
    <row r="123" customFormat="false" ht="15" hidden="false" customHeight="false" outlineLevel="0" collapsed="false">
      <c r="A123" s="0" t="str">
        <f aca="false">IF(OR(Drafts!A121="",Drafts!E121="Withdrawn",AND(Drafts!E121="Adopted",OR(Drafts!N121="Complete",Drafts!N121="Not needed"))),"",IFERROR(MATCH(Drafts!E121,StageList,0),99)*1000+121)</f>
        <v/>
      </c>
      <c r="C123" s="0" t="n">
        <f aca="false">IF(AND(Comments!B121='Policy card'!$C$3,Comments!N121="Open"),1,0)</f>
        <v>0</v>
      </c>
      <c r="D123" s="0" t="str">
        <f aca="false">IF(C123=1,E123,IF(P123=1,$E$2003+Q123,""))</f>
        <v/>
      </c>
      <c r="E123" s="0" t="n">
        <f aca="false">E122+C123</f>
        <v>0</v>
      </c>
      <c r="F123" s="0" t="n">
        <f aca="false">IF(AND('Deferred edits'!C121&lt;&gt;"",OR('Deferred edits'!C121='Policy card'!$C$3,'Deferred edits'!B121='Policy card'!$C$3)),1,0)</f>
        <v>0</v>
      </c>
      <c r="G123" s="0" t="str">
        <f aca="false">IF(F123=1,H123,"")</f>
        <v/>
      </c>
      <c r="H123" s="0" t="n">
        <f aca="false">H122+F123</f>
        <v>1</v>
      </c>
      <c r="I123" s="0" t="n">
        <f aca="false">IF('Deferred edits'!G121="Waiting",1,0)</f>
        <v>0</v>
      </c>
      <c r="J123" s="0" t="str">
        <f aca="false">IF(I123=1,K123,"")</f>
        <v/>
      </c>
      <c r="K123" s="0" t="n">
        <f aca="false">K122+I123</f>
        <v>5</v>
      </c>
      <c r="L123" s="0" t="n">
        <f aca="false">IF(AND(Versions!B121&lt;&gt;"",Versions!B121='Policy card'!$C$3),1,0)</f>
        <v>0</v>
      </c>
      <c r="M123" s="0" t="str">
        <f aca="false">IF(L123=1,N123,"")</f>
        <v/>
      </c>
      <c r="N123" s="0" t="n">
        <f aca="false">N122+L123</f>
        <v>2</v>
      </c>
      <c r="P123" s="0" t="n">
        <f aca="false">IF(AND(Comments!B121='Policy card'!$C$3,Comments!N121="Closed"),1,0)</f>
        <v>0</v>
      </c>
      <c r="Q123" s="0" t="n">
        <f aca="false">Q122+P123</f>
        <v>7</v>
      </c>
    </row>
    <row r="124" customFormat="false" ht="15" hidden="false" customHeight="false" outlineLevel="0" collapsed="false">
      <c r="A124" s="0" t="str">
        <f aca="false">IF(OR(Drafts!A122="",Drafts!E122="Withdrawn",AND(Drafts!E122="Adopted",OR(Drafts!N122="Complete",Drafts!N122="Not needed"))),"",IFERROR(MATCH(Drafts!E122,StageList,0),99)*1000+122)</f>
        <v/>
      </c>
      <c r="C124" s="0" t="n">
        <f aca="false">IF(AND(Comments!B122='Policy card'!$C$3,Comments!N122="Open"),1,0)</f>
        <v>0</v>
      </c>
      <c r="D124" s="0" t="str">
        <f aca="false">IF(C124=1,E124,IF(P124=1,$E$2003+Q124,""))</f>
        <v/>
      </c>
      <c r="E124" s="0" t="n">
        <f aca="false">E123+C124</f>
        <v>0</v>
      </c>
      <c r="F124" s="0" t="n">
        <f aca="false">IF(AND('Deferred edits'!C122&lt;&gt;"",OR('Deferred edits'!C122='Policy card'!$C$3,'Deferred edits'!B122='Policy card'!$C$3)),1,0)</f>
        <v>0</v>
      </c>
      <c r="G124" s="0" t="str">
        <f aca="false">IF(F124=1,H124,"")</f>
        <v/>
      </c>
      <c r="H124" s="0" t="n">
        <f aca="false">H123+F124</f>
        <v>1</v>
      </c>
      <c r="I124" s="0" t="n">
        <f aca="false">IF('Deferred edits'!G122="Waiting",1,0)</f>
        <v>0</v>
      </c>
      <c r="J124" s="0" t="str">
        <f aca="false">IF(I124=1,K124,"")</f>
        <v/>
      </c>
      <c r="K124" s="0" t="n">
        <f aca="false">K123+I124</f>
        <v>5</v>
      </c>
      <c r="L124" s="0" t="n">
        <f aca="false">IF(AND(Versions!B122&lt;&gt;"",Versions!B122='Policy card'!$C$3),1,0)</f>
        <v>0</v>
      </c>
      <c r="M124" s="0" t="str">
        <f aca="false">IF(L124=1,N124,"")</f>
        <v/>
      </c>
      <c r="N124" s="0" t="n">
        <f aca="false">N123+L124</f>
        <v>2</v>
      </c>
      <c r="P124" s="0" t="n">
        <f aca="false">IF(AND(Comments!B122='Policy card'!$C$3,Comments!N122="Closed"),1,0)</f>
        <v>0</v>
      </c>
      <c r="Q124" s="0" t="n">
        <f aca="false">Q123+P124</f>
        <v>7</v>
      </c>
    </row>
    <row r="125" customFormat="false" ht="15" hidden="false" customHeight="false" outlineLevel="0" collapsed="false">
      <c r="A125" s="0" t="str">
        <f aca="false">IF(OR(Drafts!A123="",Drafts!E123="Withdrawn",AND(Drafts!E123="Adopted",OR(Drafts!N123="Complete",Drafts!N123="Not needed"))),"",IFERROR(MATCH(Drafts!E123,StageList,0),99)*1000+123)</f>
        <v/>
      </c>
      <c r="C125" s="0" t="n">
        <f aca="false">IF(AND(Comments!B123='Policy card'!$C$3,Comments!N123="Open"),1,0)</f>
        <v>0</v>
      </c>
      <c r="D125" s="0" t="str">
        <f aca="false">IF(C125=1,E125,IF(P125=1,$E$2003+Q125,""))</f>
        <v/>
      </c>
      <c r="E125" s="0" t="n">
        <f aca="false">E124+C125</f>
        <v>0</v>
      </c>
      <c r="F125" s="0" t="n">
        <f aca="false">IF(AND('Deferred edits'!C123&lt;&gt;"",OR('Deferred edits'!C123='Policy card'!$C$3,'Deferred edits'!B123='Policy card'!$C$3)),1,0)</f>
        <v>0</v>
      </c>
      <c r="G125" s="0" t="str">
        <f aca="false">IF(F125=1,H125,"")</f>
        <v/>
      </c>
      <c r="H125" s="0" t="n">
        <f aca="false">H124+F125</f>
        <v>1</v>
      </c>
      <c r="I125" s="0" t="n">
        <f aca="false">IF('Deferred edits'!G123="Waiting",1,0)</f>
        <v>0</v>
      </c>
      <c r="J125" s="0" t="str">
        <f aca="false">IF(I125=1,K125,"")</f>
        <v/>
      </c>
      <c r="K125" s="0" t="n">
        <f aca="false">K124+I125</f>
        <v>5</v>
      </c>
      <c r="L125" s="0" t="n">
        <f aca="false">IF(AND(Versions!B123&lt;&gt;"",Versions!B123='Policy card'!$C$3),1,0)</f>
        <v>0</v>
      </c>
      <c r="M125" s="0" t="str">
        <f aca="false">IF(L125=1,N125,"")</f>
        <v/>
      </c>
      <c r="N125" s="0" t="n">
        <f aca="false">N124+L125</f>
        <v>2</v>
      </c>
      <c r="P125" s="0" t="n">
        <f aca="false">IF(AND(Comments!B123='Policy card'!$C$3,Comments!N123="Closed"),1,0)</f>
        <v>0</v>
      </c>
      <c r="Q125" s="0" t="n">
        <f aca="false">Q124+P125</f>
        <v>7</v>
      </c>
    </row>
    <row r="126" customFormat="false" ht="15" hidden="false" customHeight="false" outlineLevel="0" collapsed="false">
      <c r="A126" s="0" t="str">
        <f aca="false">IF(OR(Drafts!A124="",Drafts!E124="Withdrawn",AND(Drafts!E124="Adopted",OR(Drafts!N124="Complete",Drafts!N124="Not needed"))),"",IFERROR(MATCH(Drafts!E124,StageList,0),99)*1000+124)</f>
        <v/>
      </c>
      <c r="C126" s="0" t="n">
        <f aca="false">IF(AND(Comments!B124='Policy card'!$C$3,Comments!N124="Open"),1,0)</f>
        <v>0</v>
      </c>
      <c r="D126" s="0" t="str">
        <f aca="false">IF(C126=1,E126,IF(P126=1,$E$2003+Q126,""))</f>
        <v/>
      </c>
      <c r="E126" s="0" t="n">
        <f aca="false">E125+C126</f>
        <v>0</v>
      </c>
      <c r="F126" s="0" t="n">
        <f aca="false">IF(AND('Deferred edits'!C124&lt;&gt;"",OR('Deferred edits'!C124='Policy card'!$C$3,'Deferred edits'!B124='Policy card'!$C$3)),1,0)</f>
        <v>0</v>
      </c>
      <c r="G126" s="0" t="str">
        <f aca="false">IF(F126=1,H126,"")</f>
        <v/>
      </c>
      <c r="H126" s="0" t="n">
        <f aca="false">H125+F126</f>
        <v>1</v>
      </c>
      <c r="I126" s="0" t="n">
        <f aca="false">IF('Deferred edits'!G124="Waiting",1,0)</f>
        <v>0</v>
      </c>
      <c r="J126" s="0" t="str">
        <f aca="false">IF(I126=1,K126,"")</f>
        <v/>
      </c>
      <c r="K126" s="0" t="n">
        <f aca="false">K125+I126</f>
        <v>5</v>
      </c>
      <c r="L126" s="0" t="n">
        <f aca="false">IF(AND(Versions!B124&lt;&gt;"",Versions!B124='Policy card'!$C$3),1,0)</f>
        <v>0</v>
      </c>
      <c r="M126" s="0" t="str">
        <f aca="false">IF(L126=1,N126,"")</f>
        <v/>
      </c>
      <c r="N126" s="0" t="n">
        <f aca="false">N125+L126</f>
        <v>2</v>
      </c>
      <c r="P126" s="0" t="n">
        <f aca="false">IF(AND(Comments!B124='Policy card'!$C$3,Comments!N124="Closed"),1,0)</f>
        <v>0</v>
      </c>
      <c r="Q126" s="0" t="n">
        <f aca="false">Q125+P126</f>
        <v>7</v>
      </c>
    </row>
    <row r="127" customFormat="false" ht="15" hidden="false" customHeight="false" outlineLevel="0" collapsed="false">
      <c r="A127" s="0" t="str">
        <f aca="false">IF(OR(Drafts!A125="",Drafts!E125="Withdrawn",AND(Drafts!E125="Adopted",OR(Drafts!N125="Complete",Drafts!N125="Not needed"))),"",IFERROR(MATCH(Drafts!E125,StageList,0),99)*1000+125)</f>
        <v/>
      </c>
      <c r="C127" s="0" t="n">
        <f aca="false">IF(AND(Comments!B125='Policy card'!$C$3,Comments!N125="Open"),1,0)</f>
        <v>0</v>
      </c>
      <c r="D127" s="0" t="str">
        <f aca="false">IF(C127=1,E127,IF(P127=1,$E$2003+Q127,""))</f>
        <v/>
      </c>
      <c r="E127" s="0" t="n">
        <f aca="false">E126+C127</f>
        <v>0</v>
      </c>
      <c r="F127" s="0" t="n">
        <f aca="false">IF(AND('Deferred edits'!C125&lt;&gt;"",OR('Deferred edits'!C125='Policy card'!$C$3,'Deferred edits'!B125='Policy card'!$C$3)),1,0)</f>
        <v>0</v>
      </c>
      <c r="G127" s="0" t="str">
        <f aca="false">IF(F127=1,H127,"")</f>
        <v/>
      </c>
      <c r="H127" s="0" t="n">
        <f aca="false">H126+F127</f>
        <v>1</v>
      </c>
      <c r="I127" s="0" t="n">
        <f aca="false">IF('Deferred edits'!G125="Waiting",1,0)</f>
        <v>0</v>
      </c>
      <c r="J127" s="0" t="str">
        <f aca="false">IF(I127=1,K127,"")</f>
        <v/>
      </c>
      <c r="K127" s="0" t="n">
        <f aca="false">K126+I127</f>
        <v>5</v>
      </c>
      <c r="L127" s="0" t="n">
        <f aca="false">IF(AND(Versions!B125&lt;&gt;"",Versions!B125='Policy card'!$C$3),1,0)</f>
        <v>0</v>
      </c>
      <c r="M127" s="0" t="str">
        <f aca="false">IF(L127=1,N127,"")</f>
        <v/>
      </c>
      <c r="N127" s="0" t="n">
        <f aca="false">N126+L127</f>
        <v>2</v>
      </c>
      <c r="P127" s="0" t="n">
        <f aca="false">IF(AND(Comments!B125='Policy card'!$C$3,Comments!N125="Closed"),1,0)</f>
        <v>0</v>
      </c>
      <c r="Q127" s="0" t="n">
        <f aca="false">Q126+P127</f>
        <v>7</v>
      </c>
    </row>
    <row r="128" customFormat="false" ht="15" hidden="false" customHeight="false" outlineLevel="0" collapsed="false">
      <c r="A128" s="0" t="str">
        <f aca="false">IF(OR(Drafts!A126="",Drafts!E126="Withdrawn",AND(Drafts!E126="Adopted",OR(Drafts!N126="Complete",Drafts!N126="Not needed"))),"",IFERROR(MATCH(Drafts!E126,StageList,0),99)*1000+126)</f>
        <v/>
      </c>
      <c r="C128" s="0" t="n">
        <f aca="false">IF(AND(Comments!B126='Policy card'!$C$3,Comments!N126="Open"),1,0)</f>
        <v>0</v>
      </c>
      <c r="D128" s="0" t="str">
        <f aca="false">IF(C128=1,E128,IF(P128=1,$E$2003+Q128,""))</f>
        <v/>
      </c>
      <c r="E128" s="0" t="n">
        <f aca="false">E127+C128</f>
        <v>0</v>
      </c>
      <c r="F128" s="0" t="n">
        <f aca="false">IF(AND('Deferred edits'!C126&lt;&gt;"",OR('Deferred edits'!C126='Policy card'!$C$3,'Deferred edits'!B126='Policy card'!$C$3)),1,0)</f>
        <v>0</v>
      </c>
      <c r="G128" s="0" t="str">
        <f aca="false">IF(F128=1,H128,"")</f>
        <v/>
      </c>
      <c r="H128" s="0" t="n">
        <f aca="false">H127+F128</f>
        <v>1</v>
      </c>
      <c r="I128" s="0" t="n">
        <f aca="false">IF('Deferred edits'!G126="Waiting",1,0)</f>
        <v>0</v>
      </c>
      <c r="J128" s="0" t="str">
        <f aca="false">IF(I128=1,K128,"")</f>
        <v/>
      </c>
      <c r="K128" s="0" t="n">
        <f aca="false">K127+I128</f>
        <v>5</v>
      </c>
      <c r="L128" s="0" t="n">
        <f aca="false">IF(AND(Versions!B126&lt;&gt;"",Versions!B126='Policy card'!$C$3),1,0)</f>
        <v>0</v>
      </c>
      <c r="M128" s="0" t="str">
        <f aca="false">IF(L128=1,N128,"")</f>
        <v/>
      </c>
      <c r="N128" s="0" t="n">
        <f aca="false">N127+L128</f>
        <v>2</v>
      </c>
      <c r="P128" s="0" t="n">
        <f aca="false">IF(AND(Comments!B126='Policy card'!$C$3,Comments!N126="Closed"),1,0)</f>
        <v>0</v>
      </c>
      <c r="Q128" s="0" t="n">
        <f aca="false">Q127+P128</f>
        <v>7</v>
      </c>
    </row>
    <row r="129" customFormat="false" ht="15" hidden="false" customHeight="false" outlineLevel="0" collapsed="false">
      <c r="A129" s="0" t="str">
        <f aca="false">IF(OR(Drafts!A127="",Drafts!E127="Withdrawn",AND(Drafts!E127="Adopted",OR(Drafts!N127="Complete",Drafts!N127="Not needed"))),"",IFERROR(MATCH(Drafts!E127,StageList,0),99)*1000+127)</f>
        <v/>
      </c>
      <c r="C129" s="0" t="n">
        <f aca="false">IF(AND(Comments!B127='Policy card'!$C$3,Comments!N127="Open"),1,0)</f>
        <v>0</v>
      </c>
      <c r="D129" s="0" t="str">
        <f aca="false">IF(C129=1,E129,IF(P129=1,$E$2003+Q129,""))</f>
        <v/>
      </c>
      <c r="E129" s="0" t="n">
        <f aca="false">E128+C129</f>
        <v>0</v>
      </c>
      <c r="F129" s="0" t="n">
        <f aca="false">IF(AND('Deferred edits'!C127&lt;&gt;"",OR('Deferred edits'!C127='Policy card'!$C$3,'Deferred edits'!B127='Policy card'!$C$3)),1,0)</f>
        <v>0</v>
      </c>
      <c r="G129" s="0" t="str">
        <f aca="false">IF(F129=1,H129,"")</f>
        <v/>
      </c>
      <c r="H129" s="0" t="n">
        <f aca="false">H128+F129</f>
        <v>1</v>
      </c>
      <c r="I129" s="0" t="n">
        <f aca="false">IF('Deferred edits'!G127="Waiting",1,0)</f>
        <v>0</v>
      </c>
      <c r="J129" s="0" t="str">
        <f aca="false">IF(I129=1,K129,"")</f>
        <v/>
      </c>
      <c r="K129" s="0" t="n">
        <f aca="false">K128+I129</f>
        <v>5</v>
      </c>
      <c r="L129" s="0" t="n">
        <f aca="false">IF(AND(Versions!B127&lt;&gt;"",Versions!B127='Policy card'!$C$3),1,0)</f>
        <v>0</v>
      </c>
      <c r="M129" s="0" t="str">
        <f aca="false">IF(L129=1,N129,"")</f>
        <v/>
      </c>
      <c r="N129" s="0" t="n">
        <f aca="false">N128+L129</f>
        <v>2</v>
      </c>
      <c r="P129" s="0" t="n">
        <f aca="false">IF(AND(Comments!B127='Policy card'!$C$3,Comments!N127="Closed"),1,0)</f>
        <v>0</v>
      </c>
      <c r="Q129" s="0" t="n">
        <f aca="false">Q128+P129</f>
        <v>7</v>
      </c>
    </row>
    <row r="130" customFormat="false" ht="15" hidden="false" customHeight="false" outlineLevel="0" collapsed="false">
      <c r="A130" s="0" t="str">
        <f aca="false">IF(OR(Drafts!A128="",Drafts!E128="Withdrawn",AND(Drafts!E128="Adopted",OR(Drafts!N128="Complete",Drafts!N128="Not needed"))),"",IFERROR(MATCH(Drafts!E128,StageList,0),99)*1000+128)</f>
        <v/>
      </c>
      <c r="C130" s="0" t="n">
        <f aca="false">IF(AND(Comments!B128='Policy card'!$C$3,Comments!N128="Open"),1,0)</f>
        <v>0</v>
      </c>
      <c r="D130" s="0" t="str">
        <f aca="false">IF(C130=1,E130,IF(P130=1,$E$2003+Q130,""))</f>
        <v/>
      </c>
      <c r="E130" s="0" t="n">
        <f aca="false">E129+C130</f>
        <v>0</v>
      </c>
      <c r="F130" s="0" t="n">
        <f aca="false">IF(AND('Deferred edits'!C128&lt;&gt;"",OR('Deferred edits'!C128='Policy card'!$C$3,'Deferred edits'!B128='Policy card'!$C$3)),1,0)</f>
        <v>0</v>
      </c>
      <c r="G130" s="0" t="str">
        <f aca="false">IF(F130=1,H130,"")</f>
        <v/>
      </c>
      <c r="H130" s="0" t="n">
        <f aca="false">H129+F130</f>
        <v>1</v>
      </c>
      <c r="I130" s="0" t="n">
        <f aca="false">IF('Deferred edits'!G128="Waiting",1,0)</f>
        <v>0</v>
      </c>
      <c r="J130" s="0" t="str">
        <f aca="false">IF(I130=1,K130,"")</f>
        <v/>
      </c>
      <c r="K130" s="0" t="n">
        <f aca="false">K129+I130</f>
        <v>5</v>
      </c>
      <c r="L130" s="0" t="n">
        <f aca="false">IF(AND(Versions!B128&lt;&gt;"",Versions!B128='Policy card'!$C$3),1,0)</f>
        <v>0</v>
      </c>
      <c r="M130" s="0" t="str">
        <f aca="false">IF(L130=1,N130,"")</f>
        <v/>
      </c>
      <c r="N130" s="0" t="n">
        <f aca="false">N129+L130</f>
        <v>2</v>
      </c>
      <c r="P130" s="0" t="n">
        <f aca="false">IF(AND(Comments!B128='Policy card'!$C$3,Comments!N128="Closed"),1,0)</f>
        <v>0</v>
      </c>
      <c r="Q130" s="0" t="n">
        <f aca="false">Q129+P130</f>
        <v>7</v>
      </c>
    </row>
    <row r="131" customFormat="false" ht="15" hidden="false" customHeight="false" outlineLevel="0" collapsed="false">
      <c r="A131" s="0" t="str">
        <f aca="false">IF(OR(Drafts!A129="",Drafts!E129="Withdrawn",AND(Drafts!E129="Adopted",OR(Drafts!N129="Complete",Drafts!N129="Not needed"))),"",IFERROR(MATCH(Drafts!E129,StageList,0),99)*1000+129)</f>
        <v/>
      </c>
      <c r="C131" s="0" t="n">
        <f aca="false">IF(AND(Comments!B129='Policy card'!$C$3,Comments!N129="Open"),1,0)</f>
        <v>0</v>
      </c>
      <c r="D131" s="0" t="str">
        <f aca="false">IF(C131=1,E131,IF(P131=1,$E$2003+Q131,""))</f>
        <v/>
      </c>
      <c r="E131" s="0" t="n">
        <f aca="false">E130+C131</f>
        <v>0</v>
      </c>
      <c r="F131" s="0" t="n">
        <f aca="false">IF(AND('Deferred edits'!C129&lt;&gt;"",OR('Deferred edits'!C129='Policy card'!$C$3,'Deferred edits'!B129='Policy card'!$C$3)),1,0)</f>
        <v>0</v>
      </c>
      <c r="G131" s="0" t="str">
        <f aca="false">IF(F131=1,H131,"")</f>
        <v/>
      </c>
      <c r="H131" s="0" t="n">
        <f aca="false">H130+F131</f>
        <v>1</v>
      </c>
      <c r="I131" s="0" t="n">
        <f aca="false">IF('Deferred edits'!G129="Waiting",1,0)</f>
        <v>0</v>
      </c>
      <c r="J131" s="0" t="str">
        <f aca="false">IF(I131=1,K131,"")</f>
        <v/>
      </c>
      <c r="K131" s="0" t="n">
        <f aca="false">K130+I131</f>
        <v>5</v>
      </c>
      <c r="L131" s="0" t="n">
        <f aca="false">IF(AND(Versions!B129&lt;&gt;"",Versions!B129='Policy card'!$C$3),1,0)</f>
        <v>0</v>
      </c>
      <c r="M131" s="0" t="str">
        <f aca="false">IF(L131=1,N131,"")</f>
        <v/>
      </c>
      <c r="N131" s="0" t="n">
        <f aca="false">N130+L131</f>
        <v>2</v>
      </c>
      <c r="P131" s="0" t="n">
        <f aca="false">IF(AND(Comments!B129='Policy card'!$C$3,Comments!N129="Closed"),1,0)</f>
        <v>0</v>
      </c>
      <c r="Q131" s="0" t="n">
        <f aca="false">Q130+P131</f>
        <v>7</v>
      </c>
    </row>
    <row r="132" customFormat="false" ht="15" hidden="false" customHeight="false" outlineLevel="0" collapsed="false">
      <c r="A132" s="0" t="str">
        <f aca="false">IF(OR(Drafts!A130="",Drafts!E130="Withdrawn",AND(Drafts!E130="Adopted",OR(Drafts!N130="Complete",Drafts!N130="Not needed"))),"",IFERROR(MATCH(Drafts!E130,StageList,0),99)*1000+130)</f>
        <v/>
      </c>
      <c r="C132" s="0" t="n">
        <f aca="false">IF(AND(Comments!B130='Policy card'!$C$3,Comments!N130="Open"),1,0)</f>
        <v>0</v>
      </c>
      <c r="D132" s="0" t="str">
        <f aca="false">IF(C132=1,E132,IF(P132=1,$E$2003+Q132,""))</f>
        <v/>
      </c>
      <c r="E132" s="0" t="n">
        <f aca="false">E131+C132</f>
        <v>0</v>
      </c>
      <c r="F132" s="0" t="n">
        <f aca="false">IF(AND('Deferred edits'!C130&lt;&gt;"",OR('Deferred edits'!C130='Policy card'!$C$3,'Deferred edits'!B130='Policy card'!$C$3)),1,0)</f>
        <v>0</v>
      </c>
      <c r="G132" s="0" t="str">
        <f aca="false">IF(F132=1,H132,"")</f>
        <v/>
      </c>
      <c r="H132" s="0" t="n">
        <f aca="false">H131+F132</f>
        <v>1</v>
      </c>
      <c r="I132" s="0" t="n">
        <f aca="false">IF('Deferred edits'!G130="Waiting",1,0)</f>
        <v>0</v>
      </c>
      <c r="J132" s="0" t="str">
        <f aca="false">IF(I132=1,K132,"")</f>
        <v/>
      </c>
      <c r="K132" s="0" t="n">
        <f aca="false">K131+I132</f>
        <v>5</v>
      </c>
      <c r="L132" s="0" t="n">
        <f aca="false">IF(AND(Versions!B130&lt;&gt;"",Versions!B130='Policy card'!$C$3),1,0)</f>
        <v>0</v>
      </c>
      <c r="M132" s="0" t="str">
        <f aca="false">IF(L132=1,N132,"")</f>
        <v/>
      </c>
      <c r="N132" s="0" t="n">
        <f aca="false">N131+L132</f>
        <v>2</v>
      </c>
      <c r="P132" s="0" t="n">
        <f aca="false">IF(AND(Comments!B130='Policy card'!$C$3,Comments!N130="Closed"),1,0)</f>
        <v>0</v>
      </c>
      <c r="Q132" s="0" t="n">
        <f aca="false">Q131+P132</f>
        <v>7</v>
      </c>
    </row>
    <row r="133" customFormat="false" ht="15" hidden="false" customHeight="false" outlineLevel="0" collapsed="false">
      <c r="A133" s="0" t="str">
        <f aca="false">IF(OR(Drafts!A131="",Drafts!E131="Withdrawn",AND(Drafts!E131="Adopted",OR(Drafts!N131="Complete",Drafts!N131="Not needed"))),"",IFERROR(MATCH(Drafts!E131,StageList,0),99)*1000+131)</f>
        <v/>
      </c>
      <c r="C133" s="0" t="n">
        <f aca="false">IF(AND(Comments!B131='Policy card'!$C$3,Comments!N131="Open"),1,0)</f>
        <v>0</v>
      </c>
      <c r="D133" s="0" t="str">
        <f aca="false">IF(C133=1,E133,IF(P133=1,$E$2003+Q133,""))</f>
        <v/>
      </c>
      <c r="E133" s="0" t="n">
        <f aca="false">E132+C133</f>
        <v>0</v>
      </c>
      <c r="F133" s="0" t="n">
        <f aca="false">IF(AND('Deferred edits'!C131&lt;&gt;"",OR('Deferred edits'!C131='Policy card'!$C$3,'Deferred edits'!B131='Policy card'!$C$3)),1,0)</f>
        <v>0</v>
      </c>
      <c r="G133" s="0" t="str">
        <f aca="false">IF(F133=1,H133,"")</f>
        <v/>
      </c>
      <c r="H133" s="0" t="n">
        <f aca="false">H132+F133</f>
        <v>1</v>
      </c>
      <c r="I133" s="0" t="n">
        <f aca="false">IF('Deferred edits'!G131="Waiting",1,0)</f>
        <v>0</v>
      </c>
      <c r="J133" s="0" t="str">
        <f aca="false">IF(I133=1,K133,"")</f>
        <v/>
      </c>
      <c r="K133" s="0" t="n">
        <f aca="false">K132+I133</f>
        <v>5</v>
      </c>
      <c r="L133" s="0" t="n">
        <f aca="false">IF(AND(Versions!B131&lt;&gt;"",Versions!B131='Policy card'!$C$3),1,0)</f>
        <v>0</v>
      </c>
      <c r="M133" s="0" t="str">
        <f aca="false">IF(L133=1,N133,"")</f>
        <v/>
      </c>
      <c r="N133" s="0" t="n">
        <f aca="false">N132+L133</f>
        <v>2</v>
      </c>
      <c r="P133" s="0" t="n">
        <f aca="false">IF(AND(Comments!B131='Policy card'!$C$3,Comments!N131="Closed"),1,0)</f>
        <v>0</v>
      </c>
      <c r="Q133" s="0" t="n">
        <f aca="false">Q132+P133</f>
        <v>7</v>
      </c>
    </row>
    <row r="134" customFormat="false" ht="15" hidden="false" customHeight="false" outlineLevel="0" collapsed="false">
      <c r="A134" s="0" t="str">
        <f aca="false">IF(OR(Drafts!A132="",Drafts!E132="Withdrawn",AND(Drafts!E132="Adopted",OR(Drafts!N132="Complete",Drafts!N132="Not needed"))),"",IFERROR(MATCH(Drafts!E132,StageList,0),99)*1000+132)</f>
        <v/>
      </c>
      <c r="C134" s="0" t="n">
        <f aca="false">IF(AND(Comments!B132='Policy card'!$C$3,Comments!N132="Open"),1,0)</f>
        <v>0</v>
      </c>
      <c r="D134" s="0" t="str">
        <f aca="false">IF(C134=1,E134,IF(P134=1,$E$2003+Q134,""))</f>
        <v/>
      </c>
      <c r="E134" s="0" t="n">
        <f aca="false">E133+C134</f>
        <v>0</v>
      </c>
      <c r="F134" s="0" t="n">
        <f aca="false">IF(AND('Deferred edits'!C132&lt;&gt;"",OR('Deferred edits'!C132='Policy card'!$C$3,'Deferred edits'!B132='Policy card'!$C$3)),1,0)</f>
        <v>0</v>
      </c>
      <c r="G134" s="0" t="str">
        <f aca="false">IF(F134=1,H134,"")</f>
        <v/>
      </c>
      <c r="H134" s="0" t="n">
        <f aca="false">H133+F134</f>
        <v>1</v>
      </c>
      <c r="I134" s="0" t="n">
        <f aca="false">IF('Deferred edits'!G132="Waiting",1,0)</f>
        <v>0</v>
      </c>
      <c r="J134" s="0" t="str">
        <f aca="false">IF(I134=1,K134,"")</f>
        <v/>
      </c>
      <c r="K134" s="0" t="n">
        <f aca="false">K133+I134</f>
        <v>5</v>
      </c>
      <c r="L134" s="0" t="n">
        <f aca="false">IF(AND(Versions!B132&lt;&gt;"",Versions!B132='Policy card'!$C$3),1,0)</f>
        <v>0</v>
      </c>
      <c r="M134" s="0" t="str">
        <f aca="false">IF(L134=1,N134,"")</f>
        <v/>
      </c>
      <c r="N134" s="0" t="n">
        <f aca="false">N133+L134</f>
        <v>2</v>
      </c>
      <c r="P134" s="0" t="n">
        <f aca="false">IF(AND(Comments!B132='Policy card'!$C$3,Comments!N132="Closed"),1,0)</f>
        <v>0</v>
      </c>
      <c r="Q134" s="0" t="n">
        <f aca="false">Q133+P134</f>
        <v>7</v>
      </c>
    </row>
    <row r="135" customFormat="false" ht="15" hidden="false" customHeight="false" outlineLevel="0" collapsed="false">
      <c r="A135" s="0" t="str">
        <f aca="false">IF(OR(Drafts!A133="",Drafts!E133="Withdrawn",AND(Drafts!E133="Adopted",OR(Drafts!N133="Complete",Drafts!N133="Not needed"))),"",IFERROR(MATCH(Drafts!E133,StageList,0),99)*1000+133)</f>
        <v/>
      </c>
      <c r="C135" s="0" t="n">
        <f aca="false">IF(AND(Comments!B133='Policy card'!$C$3,Comments!N133="Open"),1,0)</f>
        <v>0</v>
      </c>
      <c r="D135" s="0" t="str">
        <f aca="false">IF(C135=1,E135,IF(P135=1,$E$2003+Q135,""))</f>
        <v/>
      </c>
      <c r="E135" s="0" t="n">
        <f aca="false">E134+C135</f>
        <v>0</v>
      </c>
      <c r="F135" s="0" t="n">
        <f aca="false">IF(AND('Deferred edits'!C133&lt;&gt;"",OR('Deferred edits'!C133='Policy card'!$C$3,'Deferred edits'!B133='Policy card'!$C$3)),1,0)</f>
        <v>0</v>
      </c>
      <c r="G135" s="0" t="str">
        <f aca="false">IF(F135=1,H135,"")</f>
        <v/>
      </c>
      <c r="H135" s="0" t="n">
        <f aca="false">H134+F135</f>
        <v>1</v>
      </c>
      <c r="I135" s="0" t="n">
        <f aca="false">IF('Deferred edits'!G133="Waiting",1,0)</f>
        <v>0</v>
      </c>
      <c r="J135" s="0" t="str">
        <f aca="false">IF(I135=1,K135,"")</f>
        <v/>
      </c>
      <c r="K135" s="0" t="n">
        <f aca="false">K134+I135</f>
        <v>5</v>
      </c>
      <c r="L135" s="0" t="n">
        <f aca="false">IF(AND(Versions!B133&lt;&gt;"",Versions!B133='Policy card'!$C$3),1,0)</f>
        <v>0</v>
      </c>
      <c r="M135" s="0" t="str">
        <f aca="false">IF(L135=1,N135,"")</f>
        <v/>
      </c>
      <c r="N135" s="0" t="n">
        <f aca="false">N134+L135</f>
        <v>2</v>
      </c>
      <c r="P135" s="0" t="n">
        <f aca="false">IF(AND(Comments!B133='Policy card'!$C$3,Comments!N133="Closed"),1,0)</f>
        <v>0</v>
      </c>
      <c r="Q135" s="0" t="n">
        <f aca="false">Q134+P135</f>
        <v>7</v>
      </c>
    </row>
    <row r="136" customFormat="false" ht="15" hidden="false" customHeight="false" outlineLevel="0" collapsed="false">
      <c r="A136" s="0" t="str">
        <f aca="false">IF(OR(Drafts!A134="",Drafts!E134="Withdrawn",AND(Drafts!E134="Adopted",OR(Drafts!N134="Complete",Drafts!N134="Not needed"))),"",IFERROR(MATCH(Drafts!E134,StageList,0),99)*1000+134)</f>
        <v/>
      </c>
      <c r="C136" s="0" t="n">
        <f aca="false">IF(AND(Comments!B134='Policy card'!$C$3,Comments!N134="Open"),1,0)</f>
        <v>0</v>
      </c>
      <c r="D136" s="0" t="str">
        <f aca="false">IF(C136=1,E136,IF(P136=1,$E$2003+Q136,""))</f>
        <v/>
      </c>
      <c r="E136" s="0" t="n">
        <f aca="false">E135+C136</f>
        <v>0</v>
      </c>
      <c r="F136" s="0" t="n">
        <f aca="false">IF(AND('Deferred edits'!C134&lt;&gt;"",OR('Deferred edits'!C134='Policy card'!$C$3,'Deferred edits'!B134='Policy card'!$C$3)),1,0)</f>
        <v>0</v>
      </c>
      <c r="G136" s="0" t="str">
        <f aca="false">IF(F136=1,H136,"")</f>
        <v/>
      </c>
      <c r="H136" s="0" t="n">
        <f aca="false">H135+F136</f>
        <v>1</v>
      </c>
      <c r="I136" s="0" t="n">
        <f aca="false">IF('Deferred edits'!G134="Waiting",1,0)</f>
        <v>0</v>
      </c>
      <c r="J136" s="0" t="str">
        <f aca="false">IF(I136=1,K136,"")</f>
        <v/>
      </c>
      <c r="K136" s="0" t="n">
        <f aca="false">K135+I136</f>
        <v>5</v>
      </c>
      <c r="L136" s="0" t="n">
        <f aca="false">IF(AND(Versions!B134&lt;&gt;"",Versions!B134='Policy card'!$C$3),1,0)</f>
        <v>0</v>
      </c>
      <c r="M136" s="0" t="str">
        <f aca="false">IF(L136=1,N136,"")</f>
        <v/>
      </c>
      <c r="N136" s="0" t="n">
        <f aca="false">N135+L136</f>
        <v>2</v>
      </c>
      <c r="P136" s="0" t="n">
        <f aca="false">IF(AND(Comments!B134='Policy card'!$C$3,Comments!N134="Closed"),1,0)</f>
        <v>0</v>
      </c>
      <c r="Q136" s="0" t="n">
        <f aca="false">Q135+P136</f>
        <v>7</v>
      </c>
    </row>
    <row r="137" customFormat="false" ht="15" hidden="false" customHeight="false" outlineLevel="0" collapsed="false">
      <c r="A137" s="0" t="str">
        <f aca="false">IF(OR(Drafts!A135="",Drafts!E135="Withdrawn",AND(Drafts!E135="Adopted",OR(Drafts!N135="Complete",Drafts!N135="Not needed"))),"",IFERROR(MATCH(Drafts!E135,StageList,0),99)*1000+135)</f>
        <v/>
      </c>
      <c r="C137" s="0" t="n">
        <f aca="false">IF(AND(Comments!B135='Policy card'!$C$3,Comments!N135="Open"),1,0)</f>
        <v>0</v>
      </c>
      <c r="D137" s="0" t="str">
        <f aca="false">IF(C137=1,E137,IF(P137=1,$E$2003+Q137,""))</f>
        <v/>
      </c>
      <c r="E137" s="0" t="n">
        <f aca="false">E136+C137</f>
        <v>0</v>
      </c>
      <c r="F137" s="0" t="n">
        <f aca="false">IF(AND('Deferred edits'!C135&lt;&gt;"",OR('Deferred edits'!C135='Policy card'!$C$3,'Deferred edits'!B135='Policy card'!$C$3)),1,0)</f>
        <v>0</v>
      </c>
      <c r="G137" s="0" t="str">
        <f aca="false">IF(F137=1,H137,"")</f>
        <v/>
      </c>
      <c r="H137" s="0" t="n">
        <f aca="false">H136+F137</f>
        <v>1</v>
      </c>
      <c r="I137" s="0" t="n">
        <f aca="false">IF('Deferred edits'!G135="Waiting",1,0)</f>
        <v>0</v>
      </c>
      <c r="J137" s="0" t="str">
        <f aca="false">IF(I137=1,K137,"")</f>
        <v/>
      </c>
      <c r="K137" s="0" t="n">
        <f aca="false">K136+I137</f>
        <v>5</v>
      </c>
      <c r="L137" s="0" t="n">
        <f aca="false">IF(AND(Versions!B135&lt;&gt;"",Versions!B135='Policy card'!$C$3),1,0)</f>
        <v>0</v>
      </c>
      <c r="M137" s="0" t="str">
        <f aca="false">IF(L137=1,N137,"")</f>
        <v/>
      </c>
      <c r="N137" s="0" t="n">
        <f aca="false">N136+L137</f>
        <v>2</v>
      </c>
      <c r="P137" s="0" t="n">
        <f aca="false">IF(AND(Comments!B135='Policy card'!$C$3,Comments!N135="Closed"),1,0)</f>
        <v>0</v>
      </c>
      <c r="Q137" s="0" t="n">
        <f aca="false">Q136+P137</f>
        <v>7</v>
      </c>
    </row>
    <row r="138" customFormat="false" ht="15" hidden="false" customHeight="false" outlineLevel="0" collapsed="false">
      <c r="A138" s="0" t="str">
        <f aca="false">IF(OR(Drafts!A136="",Drafts!E136="Withdrawn",AND(Drafts!E136="Adopted",OR(Drafts!N136="Complete",Drafts!N136="Not needed"))),"",IFERROR(MATCH(Drafts!E136,StageList,0),99)*1000+136)</f>
        <v/>
      </c>
      <c r="C138" s="0" t="n">
        <f aca="false">IF(AND(Comments!B136='Policy card'!$C$3,Comments!N136="Open"),1,0)</f>
        <v>0</v>
      </c>
      <c r="D138" s="0" t="str">
        <f aca="false">IF(C138=1,E138,IF(P138=1,$E$2003+Q138,""))</f>
        <v/>
      </c>
      <c r="E138" s="0" t="n">
        <f aca="false">E137+C138</f>
        <v>0</v>
      </c>
      <c r="F138" s="0" t="n">
        <f aca="false">IF(AND('Deferred edits'!C136&lt;&gt;"",OR('Deferred edits'!C136='Policy card'!$C$3,'Deferred edits'!B136='Policy card'!$C$3)),1,0)</f>
        <v>0</v>
      </c>
      <c r="G138" s="0" t="str">
        <f aca="false">IF(F138=1,H138,"")</f>
        <v/>
      </c>
      <c r="H138" s="0" t="n">
        <f aca="false">H137+F138</f>
        <v>1</v>
      </c>
      <c r="I138" s="0" t="n">
        <f aca="false">IF('Deferred edits'!G136="Waiting",1,0)</f>
        <v>0</v>
      </c>
      <c r="J138" s="0" t="str">
        <f aca="false">IF(I138=1,K138,"")</f>
        <v/>
      </c>
      <c r="K138" s="0" t="n">
        <f aca="false">K137+I138</f>
        <v>5</v>
      </c>
      <c r="L138" s="0" t="n">
        <f aca="false">IF(AND(Versions!B136&lt;&gt;"",Versions!B136='Policy card'!$C$3),1,0)</f>
        <v>0</v>
      </c>
      <c r="M138" s="0" t="str">
        <f aca="false">IF(L138=1,N138,"")</f>
        <v/>
      </c>
      <c r="N138" s="0" t="n">
        <f aca="false">N137+L138</f>
        <v>2</v>
      </c>
      <c r="P138" s="0" t="n">
        <f aca="false">IF(AND(Comments!B136='Policy card'!$C$3,Comments!N136="Closed"),1,0)</f>
        <v>0</v>
      </c>
      <c r="Q138" s="0" t="n">
        <f aca="false">Q137+P138</f>
        <v>7</v>
      </c>
    </row>
    <row r="139" customFormat="false" ht="15" hidden="false" customHeight="false" outlineLevel="0" collapsed="false">
      <c r="A139" s="0" t="str">
        <f aca="false">IF(OR(Drafts!A137="",Drafts!E137="Withdrawn",AND(Drafts!E137="Adopted",OR(Drafts!N137="Complete",Drafts!N137="Not needed"))),"",IFERROR(MATCH(Drafts!E137,StageList,0),99)*1000+137)</f>
        <v/>
      </c>
      <c r="C139" s="0" t="n">
        <f aca="false">IF(AND(Comments!B137='Policy card'!$C$3,Comments!N137="Open"),1,0)</f>
        <v>0</v>
      </c>
      <c r="D139" s="0" t="str">
        <f aca="false">IF(C139=1,E139,IF(P139=1,$E$2003+Q139,""))</f>
        <v/>
      </c>
      <c r="E139" s="0" t="n">
        <f aca="false">E138+C139</f>
        <v>0</v>
      </c>
      <c r="F139" s="0" t="n">
        <f aca="false">IF(AND('Deferred edits'!C137&lt;&gt;"",OR('Deferred edits'!C137='Policy card'!$C$3,'Deferred edits'!B137='Policy card'!$C$3)),1,0)</f>
        <v>0</v>
      </c>
      <c r="G139" s="0" t="str">
        <f aca="false">IF(F139=1,H139,"")</f>
        <v/>
      </c>
      <c r="H139" s="0" t="n">
        <f aca="false">H138+F139</f>
        <v>1</v>
      </c>
      <c r="I139" s="0" t="n">
        <f aca="false">IF('Deferred edits'!G137="Waiting",1,0)</f>
        <v>0</v>
      </c>
      <c r="J139" s="0" t="str">
        <f aca="false">IF(I139=1,K139,"")</f>
        <v/>
      </c>
      <c r="K139" s="0" t="n">
        <f aca="false">K138+I139</f>
        <v>5</v>
      </c>
      <c r="L139" s="0" t="n">
        <f aca="false">IF(AND(Versions!B137&lt;&gt;"",Versions!B137='Policy card'!$C$3),1,0)</f>
        <v>0</v>
      </c>
      <c r="M139" s="0" t="str">
        <f aca="false">IF(L139=1,N139,"")</f>
        <v/>
      </c>
      <c r="N139" s="0" t="n">
        <f aca="false">N138+L139</f>
        <v>2</v>
      </c>
      <c r="P139" s="0" t="n">
        <f aca="false">IF(AND(Comments!B137='Policy card'!$C$3,Comments!N137="Closed"),1,0)</f>
        <v>0</v>
      </c>
      <c r="Q139" s="0" t="n">
        <f aca="false">Q138+P139</f>
        <v>7</v>
      </c>
    </row>
    <row r="140" customFormat="false" ht="15" hidden="false" customHeight="false" outlineLevel="0" collapsed="false">
      <c r="A140" s="0" t="str">
        <f aca="false">IF(OR(Drafts!A138="",Drafts!E138="Withdrawn",AND(Drafts!E138="Adopted",OR(Drafts!N138="Complete",Drafts!N138="Not needed"))),"",IFERROR(MATCH(Drafts!E138,StageList,0),99)*1000+138)</f>
        <v/>
      </c>
      <c r="C140" s="0" t="n">
        <f aca="false">IF(AND(Comments!B138='Policy card'!$C$3,Comments!N138="Open"),1,0)</f>
        <v>0</v>
      </c>
      <c r="D140" s="0" t="str">
        <f aca="false">IF(C140=1,E140,IF(P140=1,$E$2003+Q140,""))</f>
        <v/>
      </c>
      <c r="E140" s="0" t="n">
        <f aca="false">E139+C140</f>
        <v>0</v>
      </c>
      <c r="F140" s="0" t="n">
        <f aca="false">IF(AND('Deferred edits'!C138&lt;&gt;"",OR('Deferred edits'!C138='Policy card'!$C$3,'Deferred edits'!B138='Policy card'!$C$3)),1,0)</f>
        <v>0</v>
      </c>
      <c r="G140" s="0" t="str">
        <f aca="false">IF(F140=1,H140,"")</f>
        <v/>
      </c>
      <c r="H140" s="0" t="n">
        <f aca="false">H139+F140</f>
        <v>1</v>
      </c>
      <c r="I140" s="0" t="n">
        <f aca="false">IF('Deferred edits'!G138="Waiting",1,0)</f>
        <v>0</v>
      </c>
      <c r="J140" s="0" t="str">
        <f aca="false">IF(I140=1,K140,"")</f>
        <v/>
      </c>
      <c r="K140" s="0" t="n">
        <f aca="false">K139+I140</f>
        <v>5</v>
      </c>
      <c r="L140" s="0" t="n">
        <f aca="false">IF(AND(Versions!B138&lt;&gt;"",Versions!B138='Policy card'!$C$3),1,0)</f>
        <v>0</v>
      </c>
      <c r="M140" s="0" t="str">
        <f aca="false">IF(L140=1,N140,"")</f>
        <v/>
      </c>
      <c r="N140" s="0" t="n">
        <f aca="false">N139+L140</f>
        <v>2</v>
      </c>
      <c r="P140" s="0" t="n">
        <f aca="false">IF(AND(Comments!B138='Policy card'!$C$3,Comments!N138="Closed"),1,0)</f>
        <v>0</v>
      </c>
      <c r="Q140" s="0" t="n">
        <f aca="false">Q139+P140</f>
        <v>7</v>
      </c>
    </row>
    <row r="141" customFormat="false" ht="15" hidden="false" customHeight="false" outlineLevel="0" collapsed="false">
      <c r="A141" s="0" t="str">
        <f aca="false">IF(OR(Drafts!A139="",Drafts!E139="Withdrawn",AND(Drafts!E139="Adopted",OR(Drafts!N139="Complete",Drafts!N139="Not needed"))),"",IFERROR(MATCH(Drafts!E139,StageList,0),99)*1000+139)</f>
        <v/>
      </c>
      <c r="C141" s="0" t="n">
        <f aca="false">IF(AND(Comments!B139='Policy card'!$C$3,Comments!N139="Open"),1,0)</f>
        <v>0</v>
      </c>
      <c r="D141" s="0" t="str">
        <f aca="false">IF(C141=1,E141,IF(P141=1,$E$2003+Q141,""))</f>
        <v/>
      </c>
      <c r="E141" s="0" t="n">
        <f aca="false">E140+C141</f>
        <v>0</v>
      </c>
      <c r="F141" s="0" t="n">
        <f aca="false">IF(AND('Deferred edits'!C139&lt;&gt;"",OR('Deferred edits'!C139='Policy card'!$C$3,'Deferred edits'!B139='Policy card'!$C$3)),1,0)</f>
        <v>0</v>
      </c>
      <c r="G141" s="0" t="str">
        <f aca="false">IF(F141=1,H141,"")</f>
        <v/>
      </c>
      <c r="H141" s="0" t="n">
        <f aca="false">H140+F141</f>
        <v>1</v>
      </c>
      <c r="I141" s="0" t="n">
        <f aca="false">IF('Deferred edits'!G139="Waiting",1,0)</f>
        <v>0</v>
      </c>
      <c r="J141" s="0" t="str">
        <f aca="false">IF(I141=1,K141,"")</f>
        <v/>
      </c>
      <c r="K141" s="0" t="n">
        <f aca="false">K140+I141</f>
        <v>5</v>
      </c>
      <c r="L141" s="0" t="n">
        <f aca="false">IF(AND(Versions!B139&lt;&gt;"",Versions!B139='Policy card'!$C$3),1,0)</f>
        <v>0</v>
      </c>
      <c r="M141" s="0" t="str">
        <f aca="false">IF(L141=1,N141,"")</f>
        <v/>
      </c>
      <c r="N141" s="0" t="n">
        <f aca="false">N140+L141</f>
        <v>2</v>
      </c>
      <c r="P141" s="0" t="n">
        <f aca="false">IF(AND(Comments!B139='Policy card'!$C$3,Comments!N139="Closed"),1,0)</f>
        <v>0</v>
      </c>
      <c r="Q141" s="0" t="n">
        <f aca="false">Q140+P141</f>
        <v>7</v>
      </c>
    </row>
    <row r="142" customFormat="false" ht="15" hidden="false" customHeight="false" outlineLevel="0" collapsed="false">
      <c r="A142" s="0" t="str">
        <f aca="false">IF(OR(Drafts!A140="",Drafts!E140="Withdrawn",AND(Drafts!E140="Adopted",OR(Drafts!N140="Complete",Drafts!N140="Not needed"))),"",IFERROR(MATCH(Drafts!E140,StageList,0),99)*1000+140)</f>
        <v/>
      </c>
      <c r="C142" s="0" t="n">
        <f aca="false">IF(AND(Comments!B140='Policy card'!$C$3,Comments!N140="Open"),1,0)</f>
        <v>0</v>
      </c>
      <c r="D142" s="0" t="str">
        <f aca="false">IF(C142=1,E142,IF(P142=1,$E$2003+Q142,""))</f>
        <v/>
      </c>
      <c r="E142" s="0" t="n">
        <f aca="false">E141+C142</f>
        <v>0</v>
      </c>
      <c r="F142" s="0" t="n">
        <f aca="false">IF(AND('Deferred edits'!C140&lt;&gt;"",OR('Deferred edits'!C140='Policy card'!$C$3,'Deferred edits'!B140='Policy card'!$C$3)),1,0)</f>
        <v>0</v>
      </c>
      <c r="G142" s="0" t="str">
        <f aca="false">IF(F142=1,H142,"")</f>
        <v/>
      </c>
      <c r="H142" s="0" t="n">
        <f aca="false">H141+F142</f>
        <v>1</v>
      </c>
      <c r="I142" s="0" t="n">
        <f aca="false">IF('Deferred edits'!G140="Waiting",1,0)</f>
        <v>0</v>
      </c>
      <c r="J142" s="0" t="str">
        <f aca="false">IF(I142=1,K142,"")</f>
        <v/>
      </c>
      <c r="K142" s="0" t="n">
        <f aca="false">K141+I142</f>
        <v>5</v>
      </c>
      <c r="L142" s="0" t="n">
        <f aca="false">IF(AND(Versions!B140&lt;&gt;"",Versions!B140='Policy card'!$C$3),1,0)</f>
        <v>0</v>
      </c>
      <c r="M142" s="0" t="str">
        <f aca="false">IF(L142=1,N142,"")</f>
        <v/>
      </c>
      <c r="N142" s="0" t="n">
        <f aca="false">N141+L142</f>
        <v>2</v>
      </c>
      <c r="P142" s="0" t="n">
        <f aca="false">IF(AND(Comments!B140='Policy card'!$C$3,Comments!N140="Closed"),1,0)</f>
        <v>0</v>
      </c>
      <c r="Q142" s="0" t="n">
        <f aca="false">Q141+P142</f>
        <v>7</v>
      </c>
    </row>
    <row r="143" customFormat="false" ht="15" hidden="false" customHeight="false" outlineLevel="0" collapsed="false">
      <c r="A143" s="0" t="str">
        <f aca="false">IF(OR(Drafts!A141="",Drafts!E141="Withdrawn",AND(Drafts!E141="Adopted",OR(Drafts!N141="Complete",Drafts!N141="Not needed"))),"",IFERROR(MATCH(Drafts!E141,StageList,0),99)*1000+141)</f>
        <v/>
      </c>
      <c r="C143" s="0" t="n">
        <f aca="false">IF(AND(Comments!B141='Policy card'!$C$3,Comments!N141="Open"),1,0)</f>
        <v>0</v>
      </c>
      <c r="D143" s="0" t="str">
        <f aca="false">IF(C143=1,E143,IF(P143=1,$E$2003+Q143,""))</f>
        <v/>
      </c>
      <c r="E143" s="0" t="n">
        <f aca="false">E142+C143</f>
        <v>0</v>
      </c>
      <c r="F143" s="0" t="n">
        <f aca="false">IF(AND('Deferred edits'!C141&lt;&gt;"",OR('Deferred edits'!C141='Policy card'!$C$3,'Deferred edits'!B141='Policy card'!$C$3)),1,0)</f>
        <v>0</v>
      </c>
      <c r="G143" s="0" t="str">
        <f aca="false">IF(F143=1,H143,"")</f>
        <v/>
      </c>
      <c r="H143" s="0" t="n">
        <f aca="false">H142+F143</f>
        <v>1</v>
      </c>
      <c r="I143" s="0" t="n">
        <f aca="false">IF('Deferred edits'!G141="Waiting",1,0)</f>
        <v>0</v>
      </c>
      <c r="J143" s="0" t="str">
        <f aca="false">IF(I143=1,K143,"")</f>
        <v/>
      </c>
      <c r="K143" s="0" t="n">
        <f aca="false">K142+I143</f>
        <v>5</v>
      </c>
      <c r="L143" s="0" t="n">
        <f aca="false">IF(AND(Versions!B141&lt;&gt;"",Versions!B141='Policy card'!$C$3),1,0)</f>
        <v>0</v>
      </c>
      <c r="M143" s="0" t="str">
        <f aca="false">IF(L143=1,N143,"")</f>
        <v/>
      </c>
      <c r="N143" s="0" t="n">
        <f aca="false">N142+L143</f>
        <v>2</v>
      </c>
      <c r="P143" s="0" t="n">
        <f aca="false">IF(AND(Comments!B141='Policy card'!$C$3,Comments!N141="Closed"),1,0)</f>
        <v>0</v>
      </c>
      <c r="Q143" s="0" t="n">
        <f aca="false">Q142+P143</f>
        <v>7</v>
      </c>
    </row>
    <row r="144" customFormat="false" ht="15" hidden="false" customHeight="false" outlineLevel="0" collapsed="false">
      <c r="A144" s="0" t="str">
        <f aca="false">IF(OR(Drafts!A142="",Drafts!E142="Withdrawn",AND(Drafts!E142="Adopted",OR(Drafts!N142="Complete",Drafts!N142="Not needed"))),"",IFERROR(MATCH(Drafts!E142,StageList,0),99)*1000+142)</f>
        <v/>
      </c>
      <c r="C144" s="0" t="n">
        <f aca="false">IF(AND(Comments!B142='Policy card'!$C$3,Comments!N142="Open"),1,0)</f>
        <v>0</v>
      </c>
      <c r="D144" s="0" t="str">
        <f aca="false">IF(C144=1,E144,IF(P144=1,$E$2003+Q144,""))</f>
        <v/>
      </c>
      <c r="E144" s="0" t="n">
        <f aca="false">E143+C144</f>
        <v>0</v>
      </c>
      <c r="F144" s="0" t="n">
        <f aca="false">IF(AND('Deferred edits'!C142&lt;&gt;"",OR('Deferred edits'!C142='Policy card'!$C$3,'Deferred edits'!B142='Policy card'!$C$3)),1,0)</f>
        <v>0</v>
      </c>
      <c r="G144" s="0" t="str">
        <f aca="false">IF(F144=1,H144,"")</f>
        <v/>
      </c>
      <c r="H144" s="0" t="n">
        <f aca="false">H143+F144</f>
        <v>1</v>
      </c>
      <c r="I144" s="0" t="n">
        <f aca="false">IF('Deferred edits'!G142="Waiting",1,0)</f>
        <v>0</v>
      </c>
      <c r="J144" s="0" t="str">
        <f aca="false">IF(I144=1,K144,"")</f>
        <v/>
      </c>
      <c r="K144" s="0" t="n">
        <f aca="false">K143+I144</f>
        <v>5</v>
      </c>
      <c r="L144" s="0" t="n">
        <f aca="false">IF(AND(Versions!B142&lt;&gt;"",Versions!B142='Policy card'!$C$3),1,0)</f>
        <v>0</v>
      </c>
      <c r="M144" s="0" t="str">
        <f aca="false">IF(L144=1,N144,"")</f>
        <v/>
      </c>
      <c r="N144" s="0" t="n">
        <f aca="false">N143+L144</f>
        <v>2</v>
      </c>
      <c r="P144" s="0" t="n">
        <f aca="false">IF(AND(Comments!B142='Policy card'!$C$3,Comments!N142="Closed"),1,0)</f>
        <v>0</v>
      </c>
      <c r="Q144" s="0" t="n">
        <f aca="false">Q143+P144</f>
        <v>7</v>
      </c>
    </row>
    <row r="145" customFormat="false" ht="15" hidden="false" customHeight="false" outlineLevel="0" collapsed="false">
      <c r="A145" s="0" t="str">
        <f aca="false">IF(OR(Drafts!A143="",Drafts!E143="Withdrawn",AND(Drafts!E143="Adopted",OR(Drafts!N143="Complete",Drafts!N143="Not needed"))),"",IFERROR(MATCH(Drafts!E143,StageList,0),99)*1000+143)</f>
        <v/>
      </c>
      <c r="C145" s="0" t="n">
        <f aca="false">IF(AND(Comments!B143='Policy card'!$C$3,Comments!N143="Open"),1,0)</f>
        <v>0</v>
      </c>
      <c r="D145" s="0" t="str">
        <f aca="false">IF(C145=1,E145,IF(P145=1,$E$2003+Q145,""))</f>
        <v/>
      </c>
      <c r="E145" s="0" t="n">
        <f aca="false">E144+C145</f>
        <v>0</v>
      </c>
      <c r="F145" s="0" t="n">
        <f aca="false">IF(AND('Deferred edits'!C143&lt;&gt;"",OR('Deferred edits'!C143='Policy card'!$C$3,'Deferred edits'!B143='Policy card'!$C$3)),1,0)</f>
        <v>0</v>
      </c>
      <c r="G145" s="0" t="str">
        <f aca="false">IF(F145=1,H145,"")</f>
        <v/>
      </c>
      <c r="H145" s="0" t="n">
        <f aca="false">H144+F145</f>
        <v>1</v>
      </c>
      <c r="I145" s="0" t="n">
        <f aca="false">IF('Deferred edits'!G143="Waiting",1,0)</f>
        <v>0</v>
      </c>
      <c r="J145" s="0" t="str">
        <f aca="false">IF(I145=1,K145,"")</f>
        <v/>
      </c>
      <c r="K145" s="0" t="n">
        <f aca="false">K144+I145</f>
        <v>5</v>
      </c>
      <c r="L145" s="0" t="n">
        <f aca="false">IF(AND(Versions!B143&lt;&gt;"",Versions!B143='Policy card'!$C$3),1,0)</f>
        <v>0</v>
      </c>
      <c r="M145" s="0" t="str">
        <f aca="false">IF(L145=1,N145,"")</f>
        <v/>
      </c>
      <c r="N145" s="0" t="n">
        <f aca="false">N144+L145</f>
        <v>2</v>
      </c>
      <c r="P145" s="0" t="n">
        <f aca="false">IF(AND(Comments!B143='Policy card'!$C$3,Comments!N143="Closed"),1,0)</f>
        <v>0</v>
      </c>
      <c r="Q145" s="0" t="n">
        <f aca="false">Q144+P145</f>
        <v>7</v>
      </c>
    </row>
    <row r="146" customFormat="false" ht="15" hidden="false" customHeight="false" outlineLevel="0" collapsed="false">
      <c r="A146" s="0" t="str">
        <f aca="false">IF(OR(Drafts!A144="",Drafts!E144="Withdrawn",AND(Drafts!E144="Adopted",OR(Drafts!N144="Complete",Drafts!N144="Not needed"))),"",IFERROR(MATCH(Drafts!E144,StageList,0),99)*1000+144)</f>
        <v/>
      </c>
      <c r="C146" s="0" t="n">
        <f aca="false">IF(AND(Comments!B144='Policy card'!$C$3,Comments!N144="Open"),1,0)</f>
        <v>0</v>
      </c>
      <c r="D146" s="0" t="str">
        <f aca="false">IF(C146=1,E146,IF(P146=1,$E$2003+Q146,""))</f>
        <v/>
      </c>
      <c r="E146" s="0" t="n">
        <f aca="false">E145+C146</f>
        <v>0</v>
      </c>
      <c r="F146" s="0" t="n">
        <f aca="false">IF(AND('Deferred edits'!C144&lt;&gt;"",OR('Deferred edits'!C144='Policy card'!$C$3,'Deferred edits'!B144='Policy card'!$C$3)),1,0)</f>
        <v>0</v>
      </c>
      <c r="G146" s="0" t="str">
        <f aca="false">IF(F146=1,H146,"")</f>
        <v/>
      </c>
      <c r="H146" s="0" t="n">
        <f aca="false">H145+F146</f>
        <v>1</v>
      </c>
      <c r="I146" s="0" t="n">
        <f aca="false">IF('Deferred edits'!G144="Waiting",1,0)</f>
        <v>0</v>
      </c>
      <c r="J146" s="0" t="str">
        <f aca="false">IF(I146=1,K146,"")</f>
        <v/>
      </c>
      <c r="K146" s="0" t="n">
        <f aca="false">K145+I146</f>
        <v>5</v>
      </c>
      <c r="L146" s="0" t="n">
        <f aca="false">IF(AND(Versions!B144&lt;&gt;"",Versions!B144='Policy card'!$C$3),1,0)</f>
        <v>0</v>
      </c>
      <c r="M146" s="0" t="str">
        <f aca="false">IF(L146=1,N146,"")</f>
        <v/>
      </c>
      <c r="N146" s="0" t="n">
        <f aca="false">N145+L146</f>
        <v>2</v>
      </c>
      <c r="P146" s="0" t="n">
        <f aca="false">IF(AND(Comments!B144='Policy card'!$C$3,Comments!N144="Closed"),1,0)</f>
        <v>0</v>
      </c>
      <c r="Q146" s="0" t="n">
        <f aca="false">Q145+P146</f>
        <v>7</v>
      </c>
    </row>
    <row r="147" customFormat="false" ht="15" hidden="false" customHeight="false" outlineLevel="0" collapsed="false">
      <c r="A147" s="0" t="str">
        <f aca="false">IF(OR(Drafts!A145="",Drafts!E145="Withdrawn",AND(Drafts!E145="Adopted",OR(Drafts!N145="Complete",Drafts!N145="Not needed"))),"",IFERROR(MATCH(Drafts!E145,StageList,0),99)*1000+145)</f>
        <v/>
      </c>
      <c r="C147" s="0" t="n">
        <f aca="false">IF(AND(Comments!B145='Policy card'!$C$3,Comments!N145="Open"),1,0)</f>
        <v>0</v>
      </c>
      <c r="D147" s="0" t="str">
        <f aca="false">IF(C147=1,E147,IF(P147=1,$E$2003+Q147,""))</f>
        <v/>
      </c>
      <c r="E147" s="0" t="n">
        <f aca="false">E146+C147</f>
        <v>0</v>
      </c>
      <c r="F147" s="0" t="n">
        <f aca="false">IF(AND('Deferred edits'!C145&lt;&gt;"",OR('Deferred edits'!C145='Policy card'!$C$3,'Deferred edits'!B145='Policy card'!$C$3)),1,0)</f>
        <v>0</v>
      </c>
      <c r="G147" s="0" t="str">
        <f aca="false">IF(F147=1,H147,"")</f>
        <v/>
      </c>
      <c r="H147" s="0" t="n">
        <f aca="false">H146+F147</f>
        <v>1</v>
      </c>
      <c r="I147" s="0" t="n">
        <f aca="false">IF('Deferred edits'!G145="Waiting",1,0)</f>
        <v>0</v>
      </c>
      <c r="J147" s="0" t="str">
        <f aca="false">IF(I147=1,K147,"")</f>
        <v/>
      </c>
      <c r="K147" s="0" t="n">
        <f aca="false">K146+I147</f>
        <v>5</v>
      </c>
      <c r="L147" s="0" t="n">
        <f aca="false">IF(AND(Versions!B145&lt;&gt;"",Versions!B145='Policy card'!$C$3),1,0)</f>
        <v>0</v>
      </c>
      <c r="M147" s="0" t="str">
        <f aca="false">IF(L147=1,N147,"")</f>
        <v/>
      </c>
      <c r="N147" s="0" t="n">
        <f aca="false">N146+L147</f>
        <v>2</v>
      </c>
      <c r="P147" s="0" t="n">
        <f aca="false">IF(AND(Comments!B145='Policy card'!$C$3,Comments!N145="Closed"),1,0)</f>
        <v>0</v>
      </c>
      <c r="Q147" s="0" t="n">
        <f aca="false">Q146+P147</f>
        <v>7</v>
      </c>
    </row>
    <row r="148" customFormat="false" ht="15" hidden="false" customHeight="false" outlineLevel="0" collapsed="false">
      <c r="A148" s="0" t="str">
        <f aca="false">IF(OR(Drafts!A146="",Drafts!E146="Withdrawn",AND(Drafts!E146="Adopted",OR(Drafts!N146="Complete",Drafts!N146="Not needed"))),"",IFERROR(MATCH(Drafts!E146,StageList,0),99)*1000+146)</f>
        <v/>
      </c>
      <c r="C148" s="0" t="n">
        <f aca="false">IF(AND(Comments!B146='Policy card'!$C$3,Comments!N146="Open"),1,0)</f>
        <v>0</v>
      </c>
      <c r="D148" s="0" t="str">
        <f aca="false">IF(C148=1,E148,IF(P148=1,$E$2003+Q148,""))</f>
        <v/>
      </c>
      <c r="E148" s="0" t="n">
        <f aca="false">E147+C148</f>
        <v>0</v>
      </c>
      <c r="F148" s="0" t="n">
        <f aca="false">IF(AND('Deferred edits'!C146&lt;&gt;"",OR('Deferred edits'!C146='Policy card'!$C$3,'Deferred edits'!B146='Policy card'!$C$3)),1,0)</f>
        <v>0</v>
      </c>
      <c r="G148" s="0" t="str">
        <f aca="false">IF(F148=1,H148,"")</f>
        <v/>
      </c>
      <c r="H148" s="0" t="n">
        <f aca="false">H147+F148</f>
        <v>1</v>
      </c>
      <c r="I148" s="0" t="n">
        <f aca="false">IF('Deferred edits'!G146="Waiting",1,0)</f>
        <v>0</v>
      </c>
      <c r="J148" s="0" t="str">
        <f aca="false">IF(I148=1,K148,"")</f>
        <v/>
      </c>
      <c r="K148" s="0" t="n">
        <f aca="false">K147+I148</f>
        <v>5</v>
      </c>
      <c r="L148" s="0" t="n">
        <f aca="false">IF(AND(Versions!B146&lt;&gt;"",Versions!B146='Policy card'!$C$3),1,0)</f>
        <v>0</v>
      </c>
      <c r="M148" s="0" t="str">
        <f aca="false">IF(L148=1,N148,"")</f>
        <v/>
      </c>
      <c r="N148" s="0" t="n">
        <f aca="false">N147+L148</f>
        <v>2</v>
      </c>
      <c r="P148" s="0" t="n">
        <f aca="false">IF(AND(Comments!B146='Policy card'!$C$3,Comments!N146="Closed"),1,0)</f>
        <v>0</v>
      </c>
      <c r="Q148" s="0" t="n">
        <f aca="false">Q147+P148</f>
        <v>7</v>
      </c>
    </row>
    <row r="149" customFormat="false" ht="15" hidden="false" customHeight="false" outlineLevel="0" collapsed="false">
      <c r="A149" s="0" t="str">
        <f aca="false">IF(OR(Drafts!A147="",Drafts!E147="Withdrawn",AND(Drafts!E147="Adopted",OR(Drafts!N147="Complete",Drafts!N147="Not needed"))),"",IFERROR(MATCH(Drafts!E147,StageList,0),99)*1000+147)</f>
        <v/>
      </c>
      <c r="C149" s="0" t="n">
        <f aca="false">IF(AND(Comments!B147='Policy card'!$C$3,Comments!N147="Open"),1,0)</f>
        <v>0</v>
      </c>
      <c r="D149" s="0" t="str">
        <f aca="false">IF(C149=1,E149,IF(P149=1,$E$2003+Q149,""))</f>
        <v/>
      </c>
      <c r="E149" s="0" t="n">
        <f aca="false">E148+C149</f>
        <v>0</v>
      </c>
      <c r="F149" s="0" t="n">
        <f aca="false">IF(AND('Deferred edits'!C147&lt;&gt;"",OR('Deferred edits'!C147='Policy card'!$C$3,'Deferred edits'!B147='Policy card'!$C$3)),1,0)</f>
        <v>0</v>
      </c>
      <c r="G149" s="0" t="str">
        <f aca="false">IF(F149=1,H149,"")</f>
        <v/>
      </c>
      <c r="H149" s="0" t="n">
        <f aca="false">H148+F149</f>
        <v>1</v>
      </c>
      <c r="I149" s="0" t="n">
        <f aca="false">IF('Deferred edits'!G147="Waiting",1,0)</f>
        <v>0</v>
      </c>
      <c r="J149" s="0" t="str">
        <f aca="false">IF(I149=1,K149,"")</f>
        <v/>
      </c>
      <c r="K149" s="0" t="n">
        <f aca="false">K148+I149</f>
        <v>5</v>
      </c>
      <c r="L149" s="0" t="n">
        <f aca="false">IF(AND(Versions!B147&lt;&gt;"",Versions!B147='Policy card'!$C$3),1,0)</f>
        <v>0</v>
      </c>
      <c r="M149" s="0" t="str">
        <f aca="false">IF(L149=1,N149,"")</f>
        <v/>
      </c>
      <c r="N149" s="0" t="n">
        <f aca="false">N148+L149</f>
        <v>2</v>
      </c>
      <c r="P149" s="0" t="n">
        <f aca="false">IF(AND(Comments!B147='Policy card'!$C$3,Comments!N147="Closed"),1,0)</f>
        <v>0</v>
      </c>
      <c r="Q149" s="0" t="n">
        <f aca="false">Q148+P149</f>
        <v>7</v>
      </c>
    </row>
    <row r="150" customFormat="false" ht="15" hidden="false" customHeight="false" outlineLevel="0" collapsed="false">
      <c r="A150" s="0" t="str">
        <f aca="false">IF(OR(Drafts!A148="",Drafts!E148="Withdrawn",AND(Drafts!E148="Adopted",OR(Drafts!N148="Complete",Drafts!N148="Not needed"))),"",IFERROR(MATCH(Drafts!E148,StageList,0),99)*1000+148)</f>
        <v/>
      </c>
      <c r="C150" s="0" t="n">
        <f aca="false">IF(AND(Comments!B148='Policy card'!$C$3,Comments!N148="Open"),1,0)</f>
        <v>0</v>
      </c>
      <c r="D150" s="0" t="str">
        <f aca="false">IF(C150=1,E150,IF(P150=1,$E$2003+Q150,""))</f>
        <v/>
      </c>
      <c r="E150" s="0" t="n">
        <f aca="false">E149+C150</f>
        <v>0</v>
      </c>
      <c r="F150" s="0" t="n">
        <f aca="false">IF(AND('Deferred edits'!C148&lt;&gt;"",OR('Deferred edits'!C148='Policy card'!$C$3,'Deferred edits'!B148='Policy card'!$C$3)),1,0)</f>
        <v>0</v>
      </c>
      <c r="G150" s="0" t="str">
        <f aca="false">IF(F150=1,H150,"")</f>
        <v/>
      </c>
      <c r="H150" s="0" t="n">
        <f aca="false">H149+F150</f>
        <v>1</v>
      </c>
      <c r="I150" s="0" t="n">
        <f aca="false">IF('Deferred edits'!G148="Waiting",1,0)</f>
        <v>0</v>
      </c>
      <c r="J150" s="0" t="str">
        <f aca="false">IF(I150=1,K150,"")</f>
        <v/>
      </c>
      <c r="K150" s="0" t="n">
        <f aca="false">K149+I150</f>
        <v>5</v>
      </c>
      <c r="L150" s="0" t="n">
        <f aca="false">IF(AND(Versions!B148&lt;&gt;"",Versions!B148='Policy card'!$C$3),1,0)</f>
        <v>0</v>
      </c>
      <c r="M150" s="0" t="str">
        <f aca="false">IF(L150=1,N150,"")</f>
        <v/>
      </c>
      <c r="N150" s="0" t="n">
        <f aca="false">N149+L150</f>
        <v>2</v>
      </c>
      <c r="P150" s="0" t="n">
        <f aca="false">IF(AND(Comments!B148='Policy card'!$C$3,Comments!N148="Closed"),1,0)</f>
        <v>0</v>
      </c>
      <c r="Q150" s="0" t="n">
        <f aca="false">Q149+P150</f>
        <v>7</v>
      </c>
    </row>
    <row r="151" customFormat="false" ht="15" hidden="false" customHeight="false" outlineLevel="0" collapsed="false">
      <c r="A151" s="0" t="str">
        <f aca="false">IF(OR(Drafts!A149="",Drafts!E149="Withdrawn",AND(Drafts!E149="Adopted",OR(Drafts!N149="Complete",Drafts!N149="Not needed"))),"",IFERROR(MATCH(Drafts!E149,StageList,0),99)*1000+149)</f>
        <v/>
      </c>
      <c r="C151" s="0" t="n">
        <f aca="false">IF(AND(Comments!B149='Policy card'!$C$3,Comments!N149="Open"),1,0)</f>
        <v>0</v>
      </c>
      <c r="D151" s="0" t="str">
        <f aca="false">IF(C151=1,E151,IF(P151=1,$E$2003+Q151,""))</f>
        <v/>
      </c>
      <c r="E151" s="0" t="n">
        <f aca="false">E150+C151</f>
        <v>0</v>
      </c>
      <c r="F151" s="0" t="n">
        <f aca="false">IF(AND('Deferred edits'!C149&lt;&gt;"",OR('Deferred edits'!C149='Policy card'!$C$3,'Deferred edits'!B149='Policy card'!$C$3)),1,0)</f>
        <v>0</v>
      </c>
      <c r="G151" s="0" t="str">
        <f aca="false">IF(F151=1,H151,"")</f>
        <v/>
      </c>
      <c r="H151" s="0" t="n">
        <f aca="false">H150+F151</f>
        <v>1</v>
      </c>
      <c r="I151" s="0" t="n">
        <f aca="false">IF('Deferred edits'!G149="Waiting",1,0)</f>
        <v>0</v>
      </c>
      <c r="J151" s="0" t="str">
        <f aca="false">IF(I151=1,K151,"")</f>
        <v/>
      </c>
      <c r="K151" s="0" t="n">
        <f aca="false">K150+I151</f>
        <v>5</v>
      </c>
      <c r="L151" s="0" t="n">
        <f aca="false">IF(AND(Versions!B149&lt;&gt;"",Versions!B149='Policy card'!$C$3),1,0)</f>
        <v>0</v>
      </c>
      <c r="M151" s="0" t="str">
        <f aca="false">IF(L151=1,N151,"")</f>
        <v/>
      </c>
      <c r="N151" s="0" t="n">
        <f aca="false">N150+L151</f>
        <v>2</v>
      </c>
      <c r="P151" s="0" t="n">
        <f aca="false">IF(AND(Comments!B149='Policy card'!$C$3,Comments!N149="Closed"),1,0)</f>
        <v>0</v>
      </c>
      <c r="Q151" s="0" t="n">
        <f aca="false">Q150+P151</f>
        <v>7</v>
      </c>
    </row>
    <row r="152" customFormat="false" ht="15" hidden="false" customHeight="false" outlineLevel="0" collapsed="false">
      <c r="A152" s="0" t="str">
        <f aca="false">IF(OR(Drafts!A150="",Drafts!E150="Withdrawn",AND(Drafts!E150="Adopted",OR(Drafts!N150="Complete",Drafts!N150="Not needed"))),"",IFERROR(MATCH(Drafts!E150,StageList,0),99)*1000+150)</f>
        <v/>
      </c>
      <c r="C152" s="0" t="n">
        <f aca="false">IF(AND(Comments!B150='Policy card'!$C$3,Comments!N150="Open"),1,0)</f>
        <v>0</v>
      </c>
      <c r="D152" s="0" t="str">
        <f aca="false">IF(C152=1,E152,IF(P152=1,$E$2003+Q152,""))</f>
        <v/>
      </c>
      <c r="E152" s="0" t="n">
        <f aca="false">E151+C152</f>
        <v>0</v>
      </c>
      <c r="F152" s="0" t="n">
        <f aca="false">IF(AND('Deferred edits'!C150&lt;&gt;"",OR('Deferred edits'!C150='Policy card'!$C$3,'Deferred edits'!B150='Policy card'!$C$3)),1,0)</f>
        <v>0</v>
      </c>
      <c r="G152" s="0" t="str">
        <f aca="false">IF(F152=1,H152,"")</f>
        <v/>
      </c>
      <c r="H152" s="0" t="n">
        <f aca="false">H151+F152</f>
        <v>1</v>
      </c>
      <c r="I152" s="0" t="n">
        <f aca="false">IF('Deferred edits'!G150="Waiting",1,0)</f>
        <v>0</v>
      </c>
      <c r="J152" s="0" t="str">
        <f aca="false">IF(I152=1,K152,"")</f>
        <v/>
      </c>
      <c r="K152" s="0" t="n">
        <f aca="false">K151+I152</f>
        <v>5</v>
      </c>
      <c r="L152" s="0" t="n">
        <f aca="false">IF(AND(Versions!B150&lt;&gt;"",Versions!B150='Policy card'!$C$3),1,0)</f>
        <v>0</v>
      </c>
      <c r="M152" s="0" t="str">
        <f aca="false">IF(L152=1,N152,"")</f>
        <v/>
      </c>
      <c r="N152" s="0" t="n">
        <f aca="false">N151+L152</f>
        <v>2</v>
      </c>
      <c r="P152" s="0" t="n">
        <f aca="false">IF(AND(Comments!B150='Policy card'!$C$3,Comments!N150="Closed"),1,0)</f>
        <v>0</v>
      </c>
      <c r="Q152" s="0" t="n">
        <f aca="false">Q151+P152</f>
        <v>7</v>
      </c>
    </row>
    <row r="153" customFormat="false" ht="15" hidden="false" customHeight="false" outlineLevel="0" collapsed="false">
      <c r="A153" s="0" t="str">
        <f aca="false">IF(OR(Drafts!A151="",Drafts!E151="Withdrawn",AND(Drafts!E151="Adopted",OR(Drafts!N151="Complete",Drafts!N151="Not needed"))),"",IFERROR(MATCH(Drafts!E151,StageList,0),99)*1000+151)</f>
        <v/>
      </c>
      <c r="C153" s="0" t="n">
        <f aca="false">IF(AND(Comments!B151='Policy card'!$C$3,Comments!N151="Open"),1,0)</f>
        <v>0</v>
      </c>
      <c r="D153" s="0" t="str">
        <f aca="false">IF(C153=1,E153,IF(P153=1,$E$2003+Q153,""))</f>
        <v/>
      </c>
      <c r="E153" s="0" t="n">
        <f aca="false">E152+C153</f>
        <v>0</v>
      </c>
      <c r="F153" s="0" t="n">
        <f aca="false">IF(AND('Deferred edits'!C151&lt;&gt;"",OR('Deferred edits'!C151='Policy card'!$C$3,'Deferred edits'!B151='Policy card'!$C$3)),1,0)</f>
        <v>0</v>
      </c>
      <c r="G153" s="0" t="str">
        <f aca="false">IF(F153=1,H153,"")</f>
        <v/>
      </c>
      <c r="H153" s="0" t="n">
        <f aca="false">H152+F153</f>
        <v>1</v>
      </c>
      <c r="I153" s="0" t="n">
        <f aca="false">IF('Deferred edits'!G151="Waiting",1,0)</f>
        <v>0</v>
      </c>
      <c r="J153" s="0" t="str">
        <f aca="false">IF(I153=1,K153,"")</f>
        <v/>
      </c>
      <c r="K153" s="0" t="n">
        <f aca="false">K152+I153</f>
        <v>5</v>
      </c>
      <c r="L153" s="0" t="n">
        <f aca="false">IF(AND(Versions!B151&lt;&gt;"",Versions!B151='Policy card'!$C$3),1,0)</f>
        <v>0</v>
      </c>
      <c r="M153" s="0" t="str">
        <f aca="false">IF(L153=1,N153,"")</f>
        <v/>
      </c>
      <c r="N153" s="0" t="n">
        <f aca="false">N152+L153</f>
        <v>2</v>
      </c>
      <c r="P153" s="0" t="n">
        <f aca="false">IF(AND(Comments!B151='Policy card'!$C$3,Comments!N151="Closed"),1,0)</f>
        <v>0</v>
      </c>
      <c r="Q153" s="0" t="n">
        <f aca="false">Q152+P153</f>
        <v>7</v>
      </c>
    </row>
    <row r="154" customFormat="false" ht="15" hidden="false" customHeight="false" outlineLevel="0" collapsed="false">
      <c r="A154" s="0" t="str">
        <f aca="false">IF(OR(Drafts!A152="",Drafts!E152="Withdrawn",AND(Drafts!E152="Adopted",OR(Drafts!N152="Complete",Drafts!N152="Not needed"))),"",IFERROR(MATCH(Drafts!E152,StageList,0),99)*1000+152)</f>
        <v/>
      </c>
      <c r="C154" s="0" t="n">
        <f aca="false">IF(AND(Comments!B152='Policy card'!$C$3,Comments!N152="Open"),1,0)</f>
        <v>0</v>
      </c>
      <c r="D154" s="0" t="str">
        <f aca="false">IF(C154=1,E154,IF(P154=1,$E$2003+Q154,""))</f>
        <v/>
      </c>
      <c r="E154" s="0" t="n">
        <f aca="false">E153+C154</f>
        <v>0</v>
      </c>
      <c r="F154" s="0" t="n">
        <f aca="false">IF(AND('Deferred edits'!C152&lt;&gt;"",OR('Deferred edits'!C152='Policy card'!$C$3,'Deferred edits'!B152='Policy card'!$C$3)),1,0)</f>
        <v>0</v>
      </c>
      <c r="G154" s="0" t="str">
        <f aca="false">IF(F154=1,H154,"")</f>
        <v/>
      </c>
      <c r="H154" s="0" t="n">
        <f aca="false">H153+F154</f>
        <v>1</v>
      </c>
      <c r="I154" s="0" t="n">
        <f aca="false">IF('Deferred edits'!G152="Waiting",1,0)</f>
        <v>0</v>
      </c>
      <c r="J154" s="0" t="str">
        <f aca="false">IF(I154=1,K154,"")</f>
        <v/>
      </c>
      <c r="K154" s="0" t="n">
        <f aca="false">K153+I154</f>
        <v>5</v>
      </c>
      <c r="L154" s="0" t="n">
        <f aca="false">IF(AND(Versions!B152&lt;&gt;"",Versions!B152='Policy card'!$C$3),1,0)</f>
        <v>0</v>
      </c>
      <c r="M154" s="0" t="str">
        <f aca="false">IF(L154=1,N154,"")</f>
        <v/>
      </c>
      <c r="N154" s="0" t="n">
        <f aca="false">N153+L154</f>
        <v>2</v>
      </c>
      <c r="P154" s="0" t="n">
        <f aca="false">IF(AND(Comments!B152='Policy card'!$C$3,Comments!N152="Closed"),1,0)</f>
        <v>0</v>
      </c>
      <c r="Q154" s="0" t="n">
        <f aca="false">Q153+P154</f>
        <v>7</v>
      </c>
    </row>
    <row r="155" customFormat="false" ht="15" hidden="false" customHeight="false" outlineLevel="0" collapsed="false">
      <c r="A155" s="0" t="str">
        <f aca="false">IF(OR(Drafts!A153="",Drafts!E153="Withdrawn",AND(Drafts!E153="Adopted",OR(Drafts!N153="Complete",Drafts!N153="Not needed"))),"",IFERROR(MATCH(Drafts!E153,StageList,0),99)*1000+153)</f>
        <v/>
      </c>
      <c r="C155" s="0" t="n">
        <f aca="false">IF(AND(Comments!B153='Policy card'!$C$3,Comments!N153="Open"),1,0)</f>
        <v>0</v>
      </c>
      <c r="D155" s="0" t="str">
        <f aca="false">IF(C155=1,E155,IF(P155=1,$E$2003+Q155,""))</f>
        <v/>
      </c>
      <c r="E155" s="0" t="n">
        <f aca="false">E154+C155</f>
        <v>0</v>
      </c>
      <c r="F155" s="0" t="n">
        <f aca="false">IF(AND('Deferred edits'!C153&lt;&gt;"",OR('Deferred edits'!C153='Policy card'!$C$3,'Deferred edits'!B153='Policy card'!$C$3)),1,0)</f>
        <v>0</v>
      </c>
      <c r="G155" s="0" t="str">
        <f aca="false">IF(F155=1,H155,"")</f>
        <v/>
      </c>
      <c r="H155" s="0" t="n">
        <f aca="false">H154+F155</f>
        <v>1</v>
      </c>
      <c r="I155" s="0" t="n">
        <f aca="false">IF('Deferred edits'!G153="Waiting",1,0)</f>
        <v>0</v>
      </c>
      <c r="J155" s="0" t="str">
        <f aca="false">IF(I155=1,K155,"")</f>
        <v/>
      </c>
      <c r="K155" s="0" t="n">
        <f aca="false">K154+I155</f>
        <v>5</v>
      </c>
      <c r="L155" s="0" t="n">
        <f aca="false">IF(AND(Versions!B153&lt;&gt;"",Versions!B153='Policy card'!$C$3),1,0)</f>
        <v>0</v>
      </c>
      <c r="M155" s="0" t="str">
        <f aca="false">IF(L155=1,N155,"")</f>
        <v/>
      </c>
      <c r="N155" s="0" t="n">
        <f aca="false">N154+L155</f>
        <v>2</v>
      </c>
      <c r="P155" s="0" t="n">
        <f aca="false">IF(AND(Comments!B153='Policy card'!$C$3,Comments!N153="Closed"),1,0)</f>
        <v>0</v>
      </c>
      <c r="Q155" s="0" t="n">
        <f aca="false">Q154+P155</f>
        <v>7</v>
      </c>
    </row>
    <row r="156" customFormat="false" ht="15" hidden="false" customHeight="false" outlineLevel="0" collapsed="false">
      <c r="A156" s="0" t="str">
        <f aca="false">IF(OR(Drafts!A154="",Drafts!E154="Withdrawn",AND(Drafts!E154="Adopted",OR(Drafts!N154="Complete",Drafts!N154="Not needed"))),"",IFERROR(MATCH(Drafts!E154,StageList,0),99)*1000+154)</f>
        <v/>
      </c>
      <c r="C156" s="0" t="n">
        <f aca="false">IF(AND(Comments!B154='Policy card'!$C$3,Comments!N154="Open"),1,0)</f>
        <v>0</v>
      </c>
      <c r="D156" s="0" t="str">
        <f aca="false">IF(C156=1,E156,IF(P156=1,$E$2003+Q156,""))</f>
        <v/>
      </c>
      <c r="E156" s="0" t="n">
        <f aca="false">E155+C156</f>
        <v>0</v>
      </c>
      <c r="F156" s="0" t="n">
        <f aca="false">IF(AND('Deferred edits'!C154&lt;&gt;"",OR('Deferred edits'!C154='Policy card'!$C$3,'Deferred edits'!B154='Policy card'!$C$3)),1,0)</f>
        <v>0</v>
      </c>
      <c r="G156" s="0" t="str">
        <f aca="false">IF(F156=1,H156,"")</f>
        <v/>
      </c>
      <c r="H156" s="0" t="n">
        <f aca="false">H155+F156</f>
        <v>1</v>
      </c>
      <c r="I156" s="0" t="n">
        <f aca="false">IF('Deferred edits'!G154="Waiting",1,0)</f>
        <v>0</v>
      </c>
      <c r="J156" s="0" t="str">
        <f aca="false">IF(I156=1,K156,"")</f>
        <v/>
      </c>
      <c r="K156" s="0" t="n">
        <f aca="false">K155+I156</f>
        <v>5</v>
      </c>
      <c r="L156" s="0" t="n">
        <f aca="false">IF(AND(Versions!B154&lt;&gt;"",Versions!B154='Policy card'!$C$3),1,0)</f>
        <v>0</v>
      </c>
      <c r="M156" s="0" t="str">
        <f aca="false">IF(L156=1,N156,"")</f>
        <v/>
      </c>
      <c r="N156" s="0" t="n">
        <f aca="false">N155+L156</f>
        <v>2</v>
      </c>
      <c r="P156" s="0" t="n">
        <f aca="false">IF(AND(Comments!B154='Policy card'!$C$3,Comments!N154="Closed"),1,0)</f>
        <v>0</v>
      </c>
      <c r="Q156" s="0" t="n">
        <f aca="false">Q155+P156</f>
        <v>7</v>
      </c>
    </row>
    <row r="157" customFormat="false" ht="15" hidden="false" customHeight="false" outlineLevel="0" collapsed="false">
      <c r="A157" s="0" t="str">
        <f aca="false">IF(OR(Drafts!A155="",Drafts!E155="Withdrawn",AND(Drafts!E155="Adopted",OR(Drafts!N155="Complete",Drafts!N155="Not needed"))),"",IFERROR(MATCH(Drafts!E155,StageList,0),99)*1000+155)</f>
        <v/>
      </c>
      <c r="C157" s="0" t="n">
        <f aca="false">IF(AND(Comments!B155='Policy card'!$C$3,Comments!N155="Open"),1,0)</f>
        <v>0</v>
      </c>
      <c r="D157" s="0" t="str">
        <f aca="false">IF(C157=1,E157,IF(P157=1,$E$2003+Q157,""))</f>
        <v/>
      </c>
      <c r="E157" s="0" t="n">
        <f aca="false">E156+C157</f>
        <v>0</v>
      </c>
      <c r="F157" s="0" t="n">
        <f aca="false">IF(AND('Deferred edits'!C155&lt;&gt;"",OR('Deferred edits'!C155='Policy card'!$C$3,'Deferred edits'!B155='Policy card'!$C$3)),1,0)</f>
        <v>0</v>
      </c>
      <c r="G157" s="0" t="str">
        <f aca="false">IF(F157=1,H157,"")</f>
        <v/>
      </c>
      <c r="H157" s="0" t="n">
        <f aca="false">H156+F157</f>
        <v>1</v>
      </c>
      <c r="I157" s="0" t="n">
        <f aca="false">IF('Deferred edits'!G155="Waiting",1,0)</f>
        <v>0</v>
      </c>
      <c r="J157" s="0" t="str">
        <f aca="false">IF(I157=1,K157,"")</f>
        <v/>
      </c>
      <c r="K157" s="0" t="n">
        <f aca="false">K156+I157</f>
        <v>5</v>
      </c>
      <c r="L157" s="0" t="n">
        <f aca="false">IF(AND(Versions!B155&lt;&gt;"",Versions!B155='Policy card'!$C$3),1,0)</f>
        <v>0</v>
      </c>
      <c r="M157" s="0" t="str">
        <f aca="false">IF(L157=1,N157,"")</f>
        <v/>
      </c>
      <c r="N157" s="0" t="n">
        <f aca="false">N156+L157</f>
        <v>2</v>
      </c>
      <c r="P157" s="0" t="n">
        <f aca="false">IF(AND(Comments!B155='Policy card'!$C$3,Comments!N155="Closed"),1,0)</f>
        <v>0</v>
      </c>
      <c r="Q157" s="0" t="n">
        <f aca="false">Q156+P157</f>
        <v>7</v>
      </c>
    </row>
    <row r="158" customFormat="false" ht="15" hidden="false" customHeight="false" outlineLevel="0" collapsed="false">
      <c r="A158" s="0" t="str">
        <f aca="false">IF(OR(Drafts!A156="",Drafts!E156="Withdrawn",AND(Drafts!E156="Adopted",OR(Drafts!N156="Complete",Drafts!N156="Not needed"))),"",IFERROR(MATCH(Drafts!E156,StageList,0),99)*1000+156)</f>
        <v/>
      </c>
      <c r="C158" s="0" t="n">
        <f aca="false">IF(AND(Comments!B156='Policy card'!$C$3,Comments!N156="Open"),1,0)</f>
        <v>0</v>
      </c>
      <c r="D158" s="0" t="str">
        <f aca="false">IF(C158=1,E158,IF(P158=1,$E$2003+Q158,""))</f>
        <v/>
      </c>
      <c r="E158" s="0" t="n">
        <f aca="false">E157+C158</f>
        <v>0</v>
      </c>
      <c r="F158" s="0" t="n">
        <f aca="false">IF(AND('Deferred edits'!C156&lt;&gt;"",OR('Deferred edits'!C156='Policy card'!$C$3,'Deferred edits'!B156='Policy card'!$C$3)),1,0)</f>
        <v>0</v>
      </c>
      <c r="G158" s="0" t="str">
        <f aca="false">IF(F158=1,H158,"")</f>
        <v/>
      </c>
      <c r="H158" s="0" t="n">
        <f aca="false">H157+F158</f>
        <v>1</v>
      </c>
      <c r="I158" s="0" t="n">
        <f aca="false">IF('Deferred edits'!G156="Waiting",1,0)</f>
        <v>0</v>
      </c>
      <c r="J158" s="0" t="str">
        <f aca="false">IF(I158=1,K158,"")</f>
        <v/>
      </c>
      <c r="K158" s="0" t="n">
        <f aca="false">K157+I158</f>
        <v>5</v>
      </c>
      <c r="L158" s="0" t="n">
        <f aca="false">IF(AND(Versions!B156&lt;&gt;"",Versions!B156='Policy card'!$C$3),1,0)</f>
        <v>0</v>
      </c>
      <c r="M158" s="0" t="str">
        <f aca="false">IF(L158=1,N158,"")</f>
        <v/>
      </c>
      <c r="N158" s="0" t="n">
        <f aca="false">N157+L158</f>
        <v>2</v>
      </c>
      <c r="P158" s="0" t="n">
        <f aca="false">IF(AND(Comments!B156='Policy card'!$C$3,Comments!N156="Closed"),1,0)</f>
        <v>0</v>
      </c>
      <c r="Q158" s="0" t="n">
        <f aca="false">Q157+P158</f>
        <v>7</v>
      </c>
    </row>
    <row r="159" customFormat="false" ht="15" hidden="false" customHeight="false" outlineLevel="0" collapsed="false">
      <c r="A159" s="0" t="str">
        <f aca="false">IF(OR(Drafts!A157="",Drafts!E157="Withdrawn",AND(Drafts!E157="Adopted",OR(Drafts!N157="Complete",Drafts!N157="Not needed"))),"",IFERROR(MATCH(Drafts!E157,StageList,0),99)*1000+157)</f>
        <v/>
      </c>
      <c r="C159" s="0" t="n">
        <f aca="false">IF(AND(Comments!B157='Policy card'!$C$3,Comments!N157="Open"),1,0)</f>
        <v>0</v>
      </c>
      <c r="D159" s="0" t="str">
        <f aca="false">IF(C159=1,E159,IF(P159=1,$E$2003+Q159,""))</f>
        <v/>
      </c>
      <c r="E159" s="0" t="n">
        <f aca="false">E158+C159</f>
        <v>0</v>
      </c>
      <c r="F159" s="0" t="n">
        <f aca="false">IF(AND('Deferred edits'!C157&lt;&gt;"",OR('Deferred edits'!C157='Policy card'!$C$3,'Deferred edits'!B157='Policy card'!$C$3)),1,0)</f>
        <v>0</v>
      </c>
      <c r="G159" s="0" t="str">
        <f aca="false">IF(F159=1,H159,"")</f>
        <v/>
      </c>
      <c r="H159" s="0" t="n">
        <f aca="false">H158+F159</f>
        <v>1</v>
      </c>
      <c r="I159" s="0" t="n">
        <f aca="false">IF('Deferred edits'!G157="Waiting",1,0)</f>
        <v>0</v>
      </c>
      <c r="J159" s="0" t="str">
        <f aca="false">IF(I159=1,K159,"")</f>
        <v/>
      </c>
      <c r="K159" s="0" t="n">
        <f aca="false">K158+I159</f>
        <v>5</v>
      </c>
      <c r="L159" s="0" t="n">
        <f aca="false">IF(AND(Versions!B157&lt;&gt;"",Versions!B157='Policy card'!$C$3),1,0)</f>
        <v>0</v>
      </c>
      <c r="M159" s="0" t="str">
        <f aca="false">IF(L159=1,N159,"")</f>
        <v/>
      </c>
      <c r="N159" s="0" t="n">
        <f aca="false">N158+L159</f>
        <v>2</v>
      </c>
      <c r="P159" s="0" t="n">
        <f aca="false">IF(AND(Comments!B157='Policy card'!$C$3,Comments!N157="Closed"),1,0)</f>
        <v>0</v>
      </c>
      <c r="Q159" s="0" t="n">
        <f aca="false">Q158+P159</f>
        <v>7</v>
      </c>
    </row>
    <row r="160" customFormat="false" ht="15" hidden="false" customHeight="false" outlineLevel="0" collapsed="false">
      <c r="A160" s="0" t="str">
        <f aca="false">IF(OR(Drafts!A158="",Drafts!E158="Withdrawn",AND(Drafts!E158="Adopted",OR(Drafts!N158="Complete",Drafts!N158="Not needed"))),"",IFERROR(MATCH(Drafts!E158,StageList,0),99)*1000+158)</f>
        <v/>
      </c>
      <c r="C160" s="0" t="n">
        <f aca="false">IF(AND(Comments!B158='Policy card'!$C$3,Comments!N158="Open"),1,0)</f>
        <v>0</v>
      </c>
      <c r="D160" s="0" t="str">
        <f aca="false">IF(C160=1,E160,IF(P160=1,$E$2003+Q160,""))</f>
        <v/>
      </c>
      <c r="E160" s="0" t="n">
        <f aca="false">E159+C160</f>
        <v>0</v>
      </c>
      <c r="F160" s="0" t="n">
        <f aca="false">IF(AND('Deferred edits'!C158&lt;&gt;"",OR('Deferred edits'!C158='Policy card'!$C$3,'Deferred edits'!B158='Policy card'!$C$3)),1,0)</f>
        <v>0</v>
      </c>
      <c r="G160" s="0" t="str">
        <f aca="false">IF(F160=1,H160,"")</f>
        <v/>
      </c>
      <c r="H160" s="0" t="n">
        <f aca="false">H159+F160</f>
        <v>1</v>
      </c>
      <c r="I160" s="0" t="n">
        <f aca="false">IF('Deferred edits'!G158="Waiting",1,0)</f>
        <v>0</v>
      </c>
      <c r="J160" s="0" t="str">
        <f aca="false">IF(I160=1,K160,"")</f>
        <v/>
      </c>
      <c r="K160" s="0" t="n">
        <f aca="false">K159+I160</f>
        <v>5</v>
      </c>
      <c r="L160" s="0" t="n">
        <f aca="false">IF(AND(Versions!B158&lt;&gt;"",Versions!B158='Policy card'!$C$3),1,0)</f>
        <v>0</v>
      </c>
      <c r="M160" s="0" t="str">
        <f aca="false">IF(L160=1,N160,"")</f>
        <v/>
      </c>
      <c r="N160" s="0" t="n">
        <f aca="false">N159+L160</f>
        <v>2</v>
      </c>
      <c r="P160" s="0" t="n">
        <f aca="false">IF(AND(Comments!B158='Policy card'!$C$3,Comments!N158="Closed"),1,0)</f>
        <v>0</v>
      </c>
      <c r="Q160" s="0" t="n">
        <f aca="false">Q159+P160</f>
        <v>7</v>
      </c>
    </row>
    <row r="161" customFormat="false" ht="15" hidden="false" customHeight="false" outlineLevel="0" collapsed="false">
      <c r="A161" s="0" t="str">
        <f aca="false">IF(OR(Drafts!A159="",Drafts!E159="Withdrawn",AND(Drafts!E159="Adopted",OR(Drafts!N159="Complete",Drafts!N159="Not needed"))),"",IFERROR(MATCH(Drafts!E159,StageList,0),99)*1000+159)</f>
        <v/>
      </c>
      <c r="C161" s="0" t="n">
        <f aca="false">IF(AND(Comments!B159='Policy card'!$C$3,Comments!N159="Open"),1,0)</f>
        <v>0</v>
      </c>
      <c r="D161" s="0" t="str">
        <f aca="false">IF(C161=1,E161,IF(P161=1,$E$2003+Q161,""))</f>
        <v/>
      </c>
      <c r="E161" s="0" t="n">
        <f aca="false">E160+C161</f>
        <v>0</v>
      </c>
      <c r="F161" s="0" t="n">
        <f aca="false">IF(AND('Deferred edits'!C159&lt;&gt;"",OR('Deferred edits'!C159='Policy card'!$C$3,'Deferred edits'!B159='Policy card'!$C$3)),1,0)</f>
        <v>0</v>
      </c>
      <c r="G161" s="0" t="str">
        <f aca="false">IF(F161=1,H161,"")</f>
        <v/>
      </c>
      <c r="H161" s="0" t="n">
        <f aca="false">H160+F161</f>
        <v>1</v>
      </c>
      <c r="I161" s="0" t="n">
        <f aca="false">IF('Deferred edits'!G159="Waiting",1,0)</f>
        <v>0</v>
      </c>
      <c r="J161" s="0" t="str">
        <f aca="false">IF(I161=1,K161,"")</f>
        <v/>
      </c>
      <c r="K161" s="0" t="n">
        <f aca="false">K160+I161</f>
        <v>5</v>
      </c>
      <c r="L161" s="0" t="n">
        <f aca="false">IF(AND(Versions!B159&lt;&gt;"",Versions!B159='Policy card'!$C$3),1,0)</f>
        <v>0</v>
      </c>
      <c r="M161" s="0" t="str">
        <f aca="false">IF(L161=1,N161,"")</f>
        <v/>
      </c>
      <c r="N161" s="0" t="n">
        <f aca="false">N160+L161</f>
        <v>2</v>
      </c>
      <c r="P161" s="0" t="n">
        <f aca="false">IF(AND(Comments!B159='Policy card'!$C$3,Comments!N159="Closed"),1,0)</f>
        <v>0</v>
      </c>
      <c r="Q161" s="0" t="n">
        <f aca="false">Q160+P161</f>
        <v>7</v>
      </c>
    </row>
    <row r="162" customFormat="false" ht="15" hidden="false" customHeight="false" outlineLevel="0" collapsed="false">
      <c r="A162" s="0" t="str">
        <f aca="false">IF(OR(Drafts!A160="",Drafts!E160="Withdrawn",AND(Drafts!E160="Adopted",OR(Drafts!N160="Complete",Drafts!N160="Not needed"))),"",IFERROR(MATCH(Drafts!E160,StageList,0),99)*1000+160)</f>
        <v/>
      </c>
      <c r="C162" s="0" t="n">
        <f aca="false">IF(AND(Comments!B160='Policy card'!$C$3,Comments!N160="Open"),1,0)</f>
        <v>0</v>
      </c>
      <c r="D162" s="0" t="str">
        <f aca="false">IF(C162=1,E162,IF(P162=1,$E$2003+Q162,""))</f>
        <v/>
      </c>
      <c r="E162" s="0" t="n">
        <f aca="false">E161+C162</f>
        <v>0</v>
      </c>
      <c r="F162" s="0" t="n">
        <f aca="false">IF(AND('Deferred edits'!C160&lt;&gt;"",OR('Deferred edits'!C160='Policy card'!$C$3,'Deferred edits'!B160='Policy card'!$C$3)),1,0)</f>
        <v>0</v>
      </c>
      <c r="G162" s="0" t="str">
        <f aca="false">IF(F162=1,H162,"")</f>
        <v/>
      </c>
      <c r="H162" s="0" t="n">
        <f aca="false">H161+F162</f>
        <v>1</v>
      </c>
      <c r="I162" s="0" t="n">
        <f aca="false">IF('Deferred edits'!G160="Waiting",1,0)</f>
        <v>0</v>
      </c>
      <c r="J162" s="0" t="str">
        <f aca="false">IF(I162=1,K162,"")</f>
        <v/>
      </c>
      <c r="K162" s="0" t="n">
        <f aca="false">K161+I162</f>
        <v>5</v>
      </c>
      <c r="L162" s="0" t="n">
        <f aca="false">IF(AND(Versions!B160&lt;&gt;"",Versions!B160='Policy card'!$C$3),1,0)</f>
        <v>0</v>
      </c>
      <c r="M162" s="0" t="str">
        <f aca="false">IF(L162=1,N162,"")</f>
        <v/>
      </c>
      <c r="N162" s="0" t="n">
        <f aca="false">N161+L162</f>
        <v>2</v>
      </c>
      <c r="P162" s="0" t="n">
        <f aca="false">IF(AND(Comments!B160='Policy card'!$C$3,Comments!N160="Closed"),1,0)</f>
        <v>0</v>
      </c>
      <c r="Q162" s="0" t="n">
        <f aca="false">Q161+P162</f>
        <v>7</v>
      </c>
    </row>
    <row r="163" customFormat="false" ht="15" hidden="false" customHeight="false" outlineLevel="0" collapsed="false">
      <c r="A163" s="0" t="str">
        <f aca="false">IF(OR(Drafts!A161="",Drafts!E161="Withdrawn",AND(Drafts!E161="Adopted",OR(Drafts!N161="Complete",Drafts!N161="Not needed"))),"",IFERROR(MATCH(Drafts!E161,StageList,0),99)*1000+161)</f>
        <v/>
      </c>
      <c r="C163" s="0" t="n">
        <f aca="false">IF(AND(Comments!B161='Policy card'!$C$3,Comments!N161="Open"),1,0)</f>
        <v>0</v>
      </c>
      <c r="D163" s="0" t="str">
        <f aca="false">IF(C163=1,E163,IF(P163=1,$E$2003+Q163,""))</f>
        <v/>
      </c>
      <c r="E163" s="0" t="n">
        <f aca="false">E162+C163</f>
        <v>0</v>
      </c>
      <c r="F163" s="0" t="n">
        <f aca="false">IF(AND('Deferred edits'!C161&lt;&gt;"",OR('Deferred edits'!C161='Policy card'!$C$3,'Deferred edits'!B161='Policy card'!$C$3)),1,0)</f>
        <v>0</v>
      </c>
      <c r="G163" s="0" t="str">
        <f aca="false">IF(F163=1,H163,"")</f>
        <v/>
      </c>
      <c r="H163" s="0" t="n">
        <f aca="false">H162+F163</f>
        <v>1</v>
      </c>
      <c r="I163" s="0" t="n">
        <f aca="false">IF('Deferred edits'!G161="Waiting",1,0)</f>
        <v>0</v>
      </c>
      <c r="J163" s="0" t="str">
        <f aca="false">IF(I163=1,K163,"")</f>
        <v/>
      </c>
      <c r="K163" s="0" t="n">
        <f aca="false">K162+I163</f>
        <v>5</v>
      </c>
      <c r="L163" s="0" t="n">
        <f aca="false">IF(AND(Versions!B161&lt;&gt;"",Versions!B161='Policy card'!$C$3),1,0)</f>
        <v>0</v>
      </c>
      <c r="M163" s="0" t="str">
        <f aca="false">IF(L163=1,N163,"")</f>
        <v/>
      </c>
      <c r="N163" s="0" t="n">
        <f aca="false">N162+L163</f>
        <v>2</v>
      </c>
      <c r="P163" s="0" t="n">
        <f aca="false">IF(AND(Comments!B161='Policy card'!$C$3,Comments!N161="Closed"),1,0)</f>
        <v>0</v>
      </c>
      <c r="Q163" s="0" t="n">
        <f aca="false">Q162+P163</f>
        <v>7</v>
      </c>
    </row>
    <row r="164" customFormat="false" ht="15" hidden="false" customHeight="false" outlineLevel="0" collapsed="false">
      <c r="A164" s="0" t="str">
        <f aca="false">IF(OR(Drafts!A162="",Drafts!E162="Withdrawn",AND(Drafts!E162="Adopted",OR(Drafts!N162="Complete",Drafts!N162="Not needed"))),"",IFERROR(MATCH(Drafts!E162,StageList,0),99)*1000+162)</f>
        <v/>
      </c>
      <c r="C164" s="0" t="n">
        <f aca="false">IF(AND(Comments!B162='Policy card'!$C$3,Comments!N162="Open"),1,0)</f>
        <v>0</v>
      </c>
      <c r="D164" s="0" t="str">
        <f aca="false">IF(C164=1,E164,IF(P164=1,$E$2003+Q164,""))</f>
        <v/>
      </c>
      <c r="E164" s="0" t="n">
        <f aca="false">E163+C164</f>
        <v>0</v>
      </c>
      <c r="F164" s="0" t="n">
        <f aca="false">IF(AND('Deferred edits'!C162&lt;&gt;"",OR('Deferred edits'!C162='Policy card'!$C$3,'Deferred edits'!B162='Policy card'!$C$3)),1,0)</f>
        <v>0</v>
      </c>
      <c r="G164" s="0" t="str">
        <f aca="false">IF(F164=1,H164,"")</f>
        <v/>
      </c>
      <c r="H164" s="0" t="n">
        <f aca="false">H163+F164</f>
        <v>1</v>
      </c>
      <c r="I164" s="0" t="n">
        <f aca="false">IF('Deferred edits'!G162="Waiting",1,0)</f>
        <v>0</v>
      </c>
      <c r="J164" s="0" t="str">
        <f aca="false">IF(I164=1,K164,"")</f>
        <v/>
      </c>
      <c r="K164" s="0" t="n">
        <f aca="false">K163+I164</f>
        <v>5</v>
      </c>
      <c r="L164" s="0" t="n">
        <f aca="false">IF(AND(Versions!B162&lt;&gt;"",Versions!B162='Policy card'!$C$3),1,0)</f>
        <v>0</v>
      </c>
      <c r="M164" s="0" t="str">
        <f aca="false">IF(L164=1,N164,"")</f>
        <v/>
      </c>
      <c r="N164" s="0" t="n">
        <f aca="false">N163+L164</f>
        <v>2</v>
      </c>
      <c r="P164" s="0" t="n">
        <f aca="false">IF(AND(Comments!B162='Policy card'!$C$3,Comments!N162="Closed"),1,0)</f>
        <v>0</v>
      </c>
      <c r="Q164" s="0" t="n">
        <f aca="false">Q163+P164</f>
        <v>7</v>
      </c>
    </row>
    <row r="165" customFormat="false" ht="15" hidden="false" customHeight="false" outlineLevel="0" collapsed="false">
      <c r="A165" s="0" t="str">
        <f aca="false">IF(OR(Drafts!A163="",Drafts!E163="Withdrawn",AND(Drafts!E163="Adopted",OR(Drafts!N163="Complete",Drafts!N163="Not needed"))),"",IFERROR(MATCH(Drafts!E163,StageList,0),99)*1000+163)</f>
        <v/>
      </c>
      <c r="C165" s="0" t="n">
        <f aca="false">IF(AND(Comments!B163='Policy card'!$C$3,Comments!N163="Open"),1,0)</f>
        <v>0</v>
      </c>
      <c r="D165" s="0" t="str">
        <f aca="false">IF(C165=1,E165,IF(P165=1,$E$2003+Q165,""))</f>
        <v/>
      </c>
      <c r="E165" s="0" t="n">
        <f aca="false">E164+C165</f>
        <v>0</v>
      </c>
      <c r="F165" s="0" t="n">
        <f aca="false">IF(AND('Deferred edits'!C163&lt;&gt;"",OR('Deferred edits'!C163='Policy card'!$C$3,'Deferred edits'!B163='Policy card'!$C$3)),1,0)</f>
        <v>0</v>
      </c>
      <c r="G165" s="0" t="str">
        <f aca="false">IF(F165=1,H165,"")</f>
        <v/>
      </c>
      <c r="H165" s="0" t="n">
        <f aca="false">H164+F165</f>
        <v>1</v>
      </c>
      <c r="I165" s="0" t="n">
        <f aca="false">IF('Deferred edits'!G163="Waiting",1,0)</f>
        <v>0</v>
      </c>
      <c r="J165" s="0" t="str">
        <f aca="false">IF(I165=1,K165,"")</f>
        <v/>
      </c>
      <c r="K165" s="0" t="n">
        <f aca="false">K164+I165</f>
        <v>5</v>
      </c>
      <c r="L165" s="0" t="n">
        <f aca="false">IF(AND(Versions!B163&lt;&gt;"",Versions!B163='Policy card'!$C$3),1,0)</f>
        <v>0</v>
      </c>
      <c r="M165" s="0" t="str">
        <f aca="false">IF(L165=1,N165,"")</f>
        <v/>
      </c>
      <c r="N165" s="0" t="n">
        <f aca="false">N164+L165</f>
        <v>2</v>
      </c>
      <c r="P165" s="0" t="n">
        <f aca="false">IF(AND(Comments!B163='Policy card'!$C$3,Comments!N163="Closed"),1,0)</f>
        <v>0</v>
      </c>
      <c r="Q165" s="0" t="n">
        <f aca="false">Q164+P165</f>
        <v>7</v>
      </c>
    </row>
    <row r="166" customFormat="false" ht="15" hidden="false" customHeight="false" outlineLevel="0" collapsed="false">
      <c r="A166" s="0" t="str">
        <f aca="false">IF(OR(Drafts!A164="",Drafts!E164="Withdrawn",AND(Drafts!E164="Adopted",OR(Drafts!N164="Complete",Drafts!N164="Not needed"))),"",IFERROR(MATCH(Drafts!E164,StageList,0),99)*1000+164)</f>
        <v/>
      </c>
      <c r="C166" s="0" t="n">
        <f aca="false">IF(AND(Comments!B164='Policy card'!$C$3,Comments!N164="Open"),1,0)</f>
        <v>0</v>
      </c>
      <c r="D166" s="0" t="str">
        <f aca="false">IF(C166=1,E166,IF(P166=1,$E$2003+Q166,""))</f>
        <v/>
      </c>
      <c r="E166" s="0" t="n">
        <f aca="false">E165+C166</f>
        <v>0</v>
      </c>
      <c r="F166" s="0" t="n">
        <f aca="false">IF(AND('Deferred edits'!C164&lt;&gt;"",OR('Deferred edits'!C164='Policy card'!$C$3,'Deferred edits'!B164='Policy card'!$C$3)),1,0)</f>
        <v>0</v>
      </c>
      <c r="G166" s="0" t="str">
        <f aca="false">IF(F166=1,H166,"")</f>
        <v/>
      </c>
      <c r="H166" s="0" t="n">
        <f aca="false">H165+F166</f>
        <v>1</v>
      </c>
      <c r="I166" s="0" t="n">
        <f aca="false">IF('Deferred edits'!G164="Waiting",1,0)</f>
        <v>0</v>
      </c>
      <c r="J166" s="0" t="str">
        <f aca="false">IF(I166=1,K166,"")</f>
        <v/>
      </c>
      <c r="K166" s="0" t="n">
        <f aca="false">K165+I166</f>
        <v>5</v>
      </c>
      <c r="L166" s="0" t="n">
        <f aca="false">IF(AND(Versions!B164&lt;&gt;"",Versions!B164='Policy card'!$C$3),1,0)</f>
        <v>0</v>
      </c>
      <c r="M166" s="0" t="str">
        <f aca="false">IF(L166=1,N166,"")</f>
        <v/>
      </c>
      <c r="N166" s="0" t="n">
        <f aca="false">N165+L166</f>
        <v>2</v>
      </c>
      <c r="P166" s="0" t="n">
        <f aca="false">IF(AND(Comments!B164='Policy card'!$C$3,Comments!N164="Closed"),1,0)</f>
        <v>0</v>
      </c>
      <c r="Q166" s="0" t="n">
        <f aca="false">Q165+P166</f>
        <v>7</v>
      </c>
    </row>
    <row r="167" customFormat="false" ht="15" hidden="false" customHeight="false" outlineLevel="0" collapsed="false">
      <c r="A167" s="0" t="str">
        <f aca="false">IF(OR(Drafts!A165="",Drafts!E165="Withdrawn",AND(Drafts!E165="Adopted",OR(Drafts!N165="Complete",Drafts!N165="Not needed"))),"",IFERROR(MATCH(Drafts!E165,StageList,0),99)*1000+165)</f>
        <v/>
      </c>
      <c r="C167" s="0" t="n">
        <f aca="false">IF(AND(Comments!B165='Policy card'!$C$3,Comments!N165="Open"),1,0)</f>
        <v>0</v>
      </c>
      <c r="D167" s="0" t="str">
        <f aca="false">IF(C167=1,E167,IF(P167=1,$E$2003+Q167,""))</f>
        <v/>
      </c>
      <c r="E167" s="0" t="n">
        <f aca="false">E166+C167</f>
        <v>0</v>
      </c>
      <c r="F167" s="0" t="n">
        <f aca="false">IF(AND('Deferred edits'!C165&lt;&gt;"",OR('Deferred edits'!C165='Policy card'!$C$3,'Deferred edits'!B165='Policy card'!$C$3)),1,0)</f>
        <v>0</v>
      </c>
      <c r="G167" s="0" t="str">
        <f aca="false">IF(F167=1,H167,"")</f>
        <v/>
      </c>
      <c r="H167" s="0" t="n">
        <f aca="false">H166+F167</f>
        <v>1</v>
      </c>
      <c r="I167" s="0" t="n">
        <f aca="false">IF('Deferred edits'!G165="Waiting",1,0)</f>
        <v>0</v>
      </c>
      <c r="J167" s="0" t="str">
        <f aca="false">IF(I167=1,K167,"")</f>
        <v/>
      </c>
      <c r="K167" s="0" t="n">
        <f aca="false">K166+I167</f>
        <v>5</v>
      </c>
      <c r="L167" s="0" t="n">
        <f aca="false">IF(AND(Versions!B165&lt;&gt;"",Versions!B165='Policy card'!$C$3),1,0)</f>
        <v>0</v>
      </c>
      <c r="M167" s="0" t="str">
        <f aca="false">IF(L167=1,N167,"")</f>
        <v/>
      </c>
      <c r="N167" s="0" t="n">
        <f aca="false">N166+L167</f>
        <v>2</v>
      </c>
      <c r="P167" s="0" t="n">
        <f aca="false">IF(AND(Comments!B165='Policy card'!$C$3,Comments!N165="Closed"),1,0)</f>
        <v>0</v>
      </c>
      <c r="Q167" s="0" t="n">
        <f aca="false">Q166+P167</f>
        <v>7</v>
      </c>
    </row>
    <row r="168" customFormat="false" ht="15" hidden="false" customHeight="false" outlineLevel="0" collapsed="false">
      <c r="A168" s="0" t="str">
        <f aca="false">IF(OR(Drafts!A166="",Drafts!E166="Withdrawn",AND(Drafts!E166="Adopted",OR(Drafts!N166="Complete",Drafts!N166="Not needed"))),"",IFERROR(MATCH(Drafts!E166,StageList,0),99)*1000+166)</f>
        <v/>
      </c>
      <c r="C168" s="0" t="n">
        <f aca="false">IF(AND(Comments!B166='Policy card'!$C$3,Comments!N166="Open"),1,0)</f>
        <v>0</v>
      </c>
      <c r="D168" s="0" t="str">
        <f aca="false">IF(C168=1,E168,IF(P168=1,$E$2003+Q168,""))</f>
        <v/>
      </c>
      <c r="E168" s="0" t="n">
        <f aca="false">E167+C168</f>
        <v>0</v>
      </c>
      <c r="F168" s="0" t="n">
        <f aca="false">IF(AND('Deferred edits'!C166&lt;&gt;"",OR('Deferred edits'!C166='Policy card'!$C$3,'Deferred edits'!B166='Policy card'!$C$3)),1,0)</f>
        <v>0</v>
      </c>
      <c r="G168" s="0" t="str">
        <f aca="false">IF(F168=1,H168,"")</f>
        <v/>
      </c>
      <c r="H168" s="0" t="n">
        <f aca="false">H167+F168</f>
        <v>1</v>
      </c>
      <c r="I168" s="0" t="n">
        <f aca="false">IF('Deferred edits'!G166="Waiting",1,0)</f>
        <v>0</v>
      </c>
      <c r="J168" s="0" t="str">
        <f aca="false">IF(I168=1,K168,"")</f>
        <v/>
      </c>
      <c r="K168" s="0" t="n">
        <f aca="false">K167+I168</f>
        <v>5</v>
      </c>
      <c r="L168" s="0" t="n">
        <f aca="false">IF(AND(Versions!B166&lt;&gt;"",Versions!B166='Policy card'!$C$3),1,0)</f>
        <v>0</v>
      </c>
      <c r="M168" s="0" t="str">
        <f aca="false">IF(L168=1,N168,"")</f>
        <v/>
      </c>
      <c r="N168" s="0" t="n">
        <f aca="false">N167+L168</f>
        <v>2</v>
      </c>
      <c r="P168" s="0" t="n">
        <f aca="false">IF(AND(Comments!B166='Policy card'!$C$3,Comments!N166="Closed"),1,0)</f>
        <v>0</v>
      </c>
      <c r="Q168" s="0" t="n">
        <f aca="false">Q167+P168</f>
        <v>7</v>
      </c>
    </row>
    <row r="169" customFormat="false" ht="15" hidden="false" customHeight="false" outlineLevel="0" collapsed="false">
      <c r="A169" s="0" t="str">
        <f aca="false">IF(OR(Drafts!A167="",Drafts!E167="Withdrawn",AND(Drafts!E167="Adopted",OR(Drafts!N167="Complete",Drafts!N167="Not needed"))),"",IFERROR(MATCH(Drafts!E167,StageList,0),99)*1000+167)</f>
        <v/>
      </c>
      <c r="C169" s="0" t="n">
        <f aca="false">IF(AND(Comments!B167='Policy card'!$C$3,Comments!N167="Open"),1,0)</f>
        <v>0</v>
      </c>
      <c r="D169" s="0" t="str">
        <f aca="false">IF(C169=1,E169,IF(P169=1,$E$2003+Q169,""))</f>
        <v/>
      </c>
      <c r="E169" s="0" t="n">
        <f aca="false">E168+C169</f>
        <v>0</v>
      </c>
      <c r="F169" s="0" t="n">
        <f aca="false">IF(AND('Deferred edits'!C167&lt;&gt;"",OR('Deferred edits'!C167='Policy card'!$C$3,'Deferred edits'!B167='Policy card'!$C$3)),1,0)</f>
        <v>0</v>
      </c>
      <c r="G169" s="0" t="str">
        <f aca="false">IF(F169=1,H169,"")</f>
        <v/>
      </c>
      <c r="H169" s="0" t="n">
        <f aca="false">H168+F169</f>
        <v>1</v>
      </c>
      <c r="I169" s="0" t="n">
        <f aca="false">IF('Deferred edits'!G167="Waiting",1,0)</f>
        <v>0</v>
      </c>
      <c r="J169" s="0" t="str">
        <f aca="false">IF(I169=1,K169,"")</f>
        <v/>
      </c>
      <c r="K169" s="0" t="n">
        <f aca="false">K168+I169</f>
        <v>5</v>
      </c>
      <c r="L169" s="0" t="n">
        <f aca="false">IF(AND(Versions!B167&lt;&gt;"",Versions!B167='Policy card'!$C$3),1,0)</f>
        <v>0</v>
      </c>
      <c r="M169" s="0" t="str">
        <f aca="false">IF(L169=1,N169,"")</f>
        <v/>
      </c>
      <c r="N169" s="0" t="n">
        <f aca="false">N168+L169</f>
        <v>2</v>
      </c>
      <c r="P169" s="0" t="n">
        <f aca="false">IF(AND(Comments!B167='Policy card'!$C$3,Comments!N167="Closed"),1,0)</f>
        <v>0</v>
      </c>
      <c r="Q169" s="0" t="n">
        <f aca="false">Q168+P169</f>
        <v>7</v>
      </c>
    </row>
    <row r="170" customFormat="false" ht="15" hidden="false" customHeight="false" outlineLevel="0" collapsed="false">
      <c r="A170" s="0" t="str">
        <f aca="false">IF(OR(Drafts!A168="",Drafts!E168="Withdrawn",AND(Drafts!E168="Adopted",OR(Drafts!N168="Complete",Drafts!N168="Not needed"))),"",IFERROR(MATCH(Drafts!E168,StageList,0),99)*1000+168)</f>
        <v/>
      </c>
      <c r="C170" s="0" t="n">
        <f aca="false">IF(AND(Comments!B168='Policy card'!$C$3,Comments!N168="Open"),1,0)</f>
        <v>0</v>
      </c>
      <c r="D170" s="0" t="str">
        <f aca="false">IF(C170=1,E170,IF(P170=1,$E$2003+Q170,""))</f>
        <v/>
      </c>
      <c r="E170" s="0" t="n">
        <f aca="false">E169+C170</f>
        <v>0</v>
      </c>
      <c r="F170" s="0" t="n">
        <f aca="false">IF(AND('Deferred edits'!C168&lt;&gt;"",OR('Deferred edits'!C168='Policy card'!$C$3,'Deferred edits'!B168='Policy card'!$C$3)),1,0)</f>
        <v>0</v>
      </c>
      <c r="G170" s="0" t="str">
        <f aca="false">IF(F170=1,H170,"")</f>
        <v/>
      </c>
      <c r="H170" s="0" t="n">
        <f aca="false">H169+F170</f>
        <v>1</v>
      </c>
      <c r="I170" s="0" t="n">
        <f aca="false">IF('Deferred edits'!G168="Waiting",1,0)</f>
        <v>0</v>
      </c>
      <c r="J170" s="0" t="str">
        <f aca="false">IF(I170=1,K170,"")</f>
        <v/>
      </c>
      <c r="K170" s="0" t="n">
        <f aca="false">K169+I170</f>
        <v>5</v>
      </c>
      <c r="L170" s="0" t="n">
        <f aca="false">IF(AND(Versions!B168&lt;&gt;"",Versions!B168='Policy card'!$C$3),1,0)</f>
        <v>0</v>
      </c>
      <c r="M170" s="0" t="str">
        <f aca="false">IF(L170=1,N170,"")</f>
        <v/>
      </c>
      <c r="N170" s="0" t="n">
        <f aca="false">N169+L170</f>
        <v>2</v>
      </c>
      <c r="P170" s="0" t="n">
        <f aca="false">IF(AND(Comments!B168='Policy card'!$C$3,Comments!N168="Closed"),1,0)</f>
        <v>0</v>
      </c>
      <c r="Q170" s="0" t="n">
        <f aca="false">Q169+P170</f>
        <v>7</v>
      </c>
    </row>
    <row r="171" customFormat="false" ht="15" hidden="false" customHeight="false" outlineLevel="0" collapsed="false">
      <c r="A171" s="0" t="str">
        <f aca="false">IF(OR(Drafts!A169="",Drafts!E169="Withdrawn",AND(Drafts!E169="Adopted",OR(Drafts!N169="Complete",Drafts!N169="Not needed"))),"",IFERROR(MATCH(Drafts!E169,StageList,0),99)*1000+169)</f>
        <v/>
      </c>
      <c r="C171" s="0" t="n">
        <f aca="false">IF(AND(Comments!B169='Policy card'!$C$3,Comments!N169="Open"),1,0)</f>
        <v>0</v>
      </c>
      <c r="D171" s="0" t="str">
        <f aca="false">IF(C171=1,E171,IF(P171=1,$E$2003+Q171,""))</f>
        <v/>
      </c>
      <c r="E171" s="0" t="n">
        <f aca="false">E170+C171</f>
        <v>0</v>
      </c>
      <c r="F171" s="0" t="n">
        <f aca="false">IF(AND('Deferred edits'!C169&lt;&gt;"",OR('Deferred edits'!C169='Policy card'!$C$3,'Deferred edits'!B169='Policy card'!$C$3)),1,0)</f>
        <v>0</v>
      </c>
      <c r="G171" s="0" t="str">
        <f aca="false">IF(F171=1,H171,"")</f>
        <v/>
      </c>
      <c r="H171" s="0" t="n">
        <f aca="false">H170+F171</f>
        <v>1</v>
      </c>
      <c r="I171" s="0" t="n">
        <f aca="false">IF('Deferred edits'!G169="Waiting",1,0)</f>
        <v>0</v>
      </c>
      <c r="J171" s="0" t="str">
        <f aca="false">IF(I171=1,K171,"")</f>
        <v/>
      </c>
      <c r="K171" s="0" t="n">
        <f aca="false">K170+I171</f>
        <v>5</v>
      </c>
      <c r="L171" s="0" t="n">
        <f aca="false">IF(AND(Versions!B169&lt;&gt;"",Versions!B169='Policy card'!$C$3),1,0)</f>
        <v>0</v>
      </c>
      <c r="M171" s="0" t="str">
        <f aca="false">IF(L171=1,N171,"")</f>
        <v/>
      </c>
      <c r="N171" s="0" t="n">
        <f aca="false">N170+L171</f>
        <v>2</v>
      </c>
      <c r="P171" s="0" t="n">
        <f aca="false">IF(AND(Comments!B169='Policy card'!$C$3,Comments!N169="Closed"),1,0)</f>
        <v>0</v>
      </c>
      <c r="Q171" s="0" t="n">
        <f aca="false">Q170+P171</f>
        <v>7</v>
      </c>
    </row>
    <row r="172" customFormat="false" ht="15" hidden="false" customHeight="false" outlineLevel="0" collapsed="false">
      <c r="A172" s="0" t="str">
        <f aca="false">IF(OR(Drafts!A170="",Drafts!E170="Withdrawn",AND(Drafts!E170="Adopted",OR(Drafts!N170="Complete",Drafts!N170="Not needed"))),"",IFERROR(MATCH(Drafts!E170,StageList,0),99)*1000+170)</f>
        <v/>
      </c>
      <c r="C172" s="0" t="n">
        <f aca="false">IF(AND(Comments!B170='Policy card'!$C$3,Comments!N170="Open"),1,0)</f>
        <v>0</v>
      </c>
      <c r="D172" s="0" t="str">
        <f aca="false">IF(C172=1,E172,IF(P172=1,$E$2003+Q172,""))</f>
        <v/>
      </c>
      <c r="E172" s="0" t="n">
        <f aca="false">E171+C172</f>
        <v>0</v>
      </c>
      <c r="F172" s="0" t="n">
        <f aca="false">IF(AND('Deferred edits'!C170&lt;&gt;"",OR('Deferred edits'!C170='Policy card'!$C$3,'Deferred edits'!B170='Policy card'!$C$3)),1,0)</f>
        <v>0</v>
      </c>
      <c r="G172" s="0" t="str">
        <f aca="false">IF(F172=1,H172,"")</f>
        <v/>
      </c>
      <c r="H172" s="0" t="n">
        <f aca="false">H171+F172</f>
        <v>1</v>
      </c>
      <c r="I172" s="0" t="n">
        <f aca="false">IF('Deferred edits'!G170="Waiting",1,0)</f>
        <v>0</v>
      </c>
      <c r="J172" s="0" t="str">
        <f aca="false">IF(I172=1,K172,"")</f>
        <v/>
      </c>
      <c r="K172" s="0" t="n">
        <f aca="false">K171+I172</f>
        <v>5</v>
      </c>
      <c r="L172" s="0" t="n">
        <f aca="false">IF(AND(Versions!B170&lt;&gt;"",Versions!B170='Policy card'!$C$3),1,0)</f>
        <v>0</v>
      </c>
      <c r="M172" s="0" t="str">
        <f aca="false">IF(L172=1,N172,"")</f>
        <v/>
      </c>
      <c r="N172" s="0" t="n">
        <f aca="false">N171+L172</f>
        <v>2</v>
      </c>
      <c r="P172" s="0" t="n">
        <f aca="false">IF(AND(Comments!B170='Policy card'!$C$3,Comments!N170="Closed"),1,0)</f>
        <v>0</v>
      </c>
      <c r="Q172" s="0" t="n">
        <f aca="false">Q171+P172</f>
        <v>7</v>
      </c>
    </row>
    <row r="173" customFormat="false" ht="15" hidden="false" customHeight="false" outlineLevel="0" collapsed="false">
      <c r="A173" s="0" t="str">
        <f aca="false">IF(OR(Drafts!A171="",Drafts!E171="Withdrawn",AND(Drafts!E171="Adopted",OR(Drafts!N171="Complete",Drafts!N171="Not needed"))),"",IFERROR(MATCH(Drafts!E171,StageList,0),99)*1000+171)</f>
        <v/>
      </c>
      <c r="C173" s="0" t="n">
        <f aca="false">IF(AND(Comments!B171='Policy card'!$C$3,Comments!N171="Open"),1,0)</f>
        <v>0</v>
      </c>
      <c r="D173" s="0" t="str">
        <f aca="false">IF(C173=1,E173,IF(P173=1,$E$2003+Q173,""))</f>
        <v/>
      </c>
      <c r="E173" s="0" t="n">
        <f aca="false">E172+C173</f>
        <v>0</v>
      </c>
      <c r="F173" s="0" t="n">
        <f aca="false">IF(AND('Deferred edits'!C171&lt;&gt;"",OR('Deferred edits'!C171='Policy card'!$C$3,'Deferred edits'!B171='Policy card'!$C$3)),1,0)</f>
        <v>0</v>
      </c>
      <c r="G173" s="0" t="str">
        <f aca="false">IF(F173=1,H173,"")</f>
        <v/>
      </c>
      <c r="H173" s="0" t="n">
        <f aca="false">H172+F173</f>
        <v>1</v>
      </c>
      <c r="I173" s="0" t="n">
        <f aca="false">IF('Deferred edits'!G171="Waiting",1,0)</f>
        <v>0</v>
      </c>
      <c r="J173" s="0" t="str">
        <f aca="false">IF(I173=1,K173,"")</f>
        <v/>
      </c>
      <c r="K173" s="0" t="n">
        <f aca="false">K172+I173</f>
        <v>5</v>
      </c>
      <c r="L173" s="0" t="n">
        <f aca="false">IF(AND(Versions!B171&lt;&gt;"",Versions!B171='Policy card'!$C$3),1,0)</f>
        <v>0</v>
      </c>
      <c r="M173" s="0" t="str">
        <f aca="false">IF(L173=1,N173,"")</f>
        <v/>
      </c>
      <c r="N173" s="0" t="n">
        <f aca="false">N172+L173</f>
        <v>2</v>
      </c>
      <c r="P173" s="0" t="n">
        <f aca="false">IF(AND(Comments!B171='Policy card'!$C$3,Comments!N171="Closed"),1,0)</f>
        <v>0</v>
      </c>
      <c r="Q173" s="0" t="n">
        <f aca="false">Q172+P173</f>
        <v>7</v>
      </c>
    </row>
    <row r="174" customFormat="false" ht="15" hidden="false" customHeight="false" outlineLevel="0" collapsed="false">
      <c r="A174" s="0" t="str">
        <f aca="false">IF(OR(Drafts!A172="",Drafts!E172="Withdrawn",AND(Drafts!E172="Adopted",OR(Drafts!N172="Complete",Drafts!N172="Not needed"))),"",IFERROR(MATCH(Drafts!E172,StageList,0),99)*1000+172)</f>
        <v/>
      </c>
      <c r="C174" s="0" t="n">
        <f aca="false">IF(AND(Comments!B172='Policy card'!$C$3,Comments!N172="Open"),1,0)</f>
        <v>0</v>
      </c>
      <c r="D174" s="0" t="str">
        <f aca="false">IF(C174=1,E174,IF(P174=1,$E$2003+Q174,""))</f>
        <v/>
      </c>
      <c r="E174" s="0" t="n">
        <f aca="false">E173+C174</f>
        <v>0</v>
      </c>
      <c r="F174" s="0" t="n">
        <f aca="false">IF(AND('Deferred edits'!C172&lt;&gt;"",OR('Deferred edits'!C172='Policy card'!$C$3,'Deferred edits'!B172='Policy card'!$C$3)),1,0)</f>
        <v>0</v>
      </c>
      <c r="G174" s="0" t="str">
        <f aca="false">IF(F174=1,H174,"")</f>
        <v/>
      </c>
      <c r="H174" s="0" t="n">
        <f aca="false">H173+F174</f>
        <v>1</v>
      </c>
      <c r="I174" s="0" t="n">
        <f aca="false">IF('Deferred edits'!G172="Waiting",1,0)</f>
        <v>0</v>
      </c>
      <c r="J174" s="0" t="str">
        <f aca="false">IF(I174=1,K174,"")</f>
        <v/>
      </c>
      <c r="K174" s="0" t="n">
        <f aca="false">K173+I174</f>
        <v>5</v>
      </c>
      <c r="L174" s="0" t="n">
        <f aca="false">IF(AND(Versions!B172&lt;&gt;"",Versions!B172='Policy card'!$C$3),1,0)</f>
        <v>0</v>
      </c>
      <c r="M174" s="0" t="str">
        <f aca="false">IF(L174=1,N174,"")</f>
        <v/>
      </c>
      <c r="N174" s="0" t="n">
        <f aca="false">N173+L174</f>
        <v>2</v>
      </c>
      <c r="P174" s="0" t="n">
        <f aca="false">IF(AND(Comments!B172='Policy card'!$C$3,Comments!N172="Closed"),1,0)</f>
        <v>0</v>
      </c>
      <c r="Q174" s="0" t="n">
        <f aca="false">Q173+P174</f>
        <v>7</v>
      </c>
    </row>
    <row r="175" customFormat="false" ht="15" hidden="false" customHeight="false" outlineLevel="0" collapsed="false">
      <c r="A175" s="0" t="str">
        <f aca="false">IF(OR(Drafts!A173="",Drafts!E173="Withdrawn",AND(Drafts!E173="Adopted",OR(Drafts!N173="Complete",Drafts!N173="Not needed"))),"",IFERROR(MATCH(Drafts!E173,StageList,0),99)*1000+173)</f>
        <v/>
      </c>
      <c r="C175" s="0" t="n">
        <f aca="false">IF(AND(Comments!B173='Policy card'!$C$3,Comments!N173="Open"),1,0)</f>
        <v>0</v>
      </c>
      <c r="D175" s="0" t="str">
        <f aca="false">IF(C175=1,E175,IF(P175=1,$E$2003+Q175,""))</f>
        <v/>
      </c>
      <c r="E175" s="0" t="n">
        <f aca="false">E174+C175</f>
        <v>0</v>
      </c>
      <c r="F175" s="0" t="n">
        <f aca="false">IF(AND('Deferred edits'!C173&lt;&gt;"",OR('Deferred edits'!C173='Policy card'!$C$3,'Deferred edits'!B173='Policy card'!$C$3)),1,0)</f>
        <v>0</v>
      </c>
      <c r="G175" s="0" t="str">
        <f aca="false">IF(F175=1,H175,"")</f>
        <v/>
      </c>
      <c r="H175" s="0" t="n">
        <f aca="false">H174+F175</f>
        <v>1</v>
      </c>
      <c r="I175" s="0" t="n">
        <f aca="false">IF('Deferred edits'!G173="Waiting",1,0)</f>
        <v>0</v>
      </c>
      <c r="J175" s="0" t="str">
        <f aca="false">IF(I175=1,K175,"")</f>
        <v/>
      </c>
      <c r="K175" s="0" t="n">
        <f aca="false">K174+I175</f>
        <v>5</v>
      </c>
      <c r="L175" s="0" t="n">
        <f aca="false">IF(AND(Versions!B173&lt;&gt;"",Versions!B173='Policy card'!$C$3),1,0)</f>
        <v>0</v>
      </c>
      <c r="M175" s="0" t="str">
        <f aca="false">IF(L175=1,N175,"")</f>
        <v/>
      </c>
      <c r="N175" s="0" t="n">
        <f aca="false">N174+L175</f>
        <v>2</v>
      </c>
      <c r="P175" s="0" t="n">
        <f aca="false">IF(AND(Comments!B173='Policy card'!$C$3,Comments!N173="Closed"),1,0)</f>
        <v>0</v>
      </c>
      <c r="Q175" s="0" t="n">
        <f aca="false">Q174+P175</f>
        <v>7</v>
      </c>
    </row>
    <row r="176" customFormat="false" ht="15" hidden="false" customHeight="false" outlineLevel="0" collapsed="false">
      <c r="A176" s="0" t="str">
        <f aca="false">IF(OR(Drafts!A174="",Drafts!E174="Withdrawn",AND(Drafts!E174="Adopted",OR(Drafts!N174="Complete",Drafts!N174="Not needed"))),"",IFERROR(MATCH(Drafts!E174,StageList,0),99)*1000+174)</f>
        <v/>
      </c>
      <c r="C176" s="0" t="n">
        <f aca="false">IF(AND(Comments!B174='Policy card'!$C$3,Comments!N174="Open"),1,0)</f>
        <v>0</v>
      </c>
      <c r="D176" s="0" t="str">
        <f aca="false">IF(C176=1,E176,IF(P176=1,$E$2003+Q176,""))</f>
        <v/>
      </c>
      <c r="E176" s="0" t="n">
        <f aca="false">E175+C176</f>
        <v>0</v>
      </c>
      <c r="F176" s="0" t="n">
        <f aca="false">IF(AND('Deferred edits'!C174&lt;&gt;"",OR('Deferred edits'!C174='Policy card'!$C$3,'Deferred edits'!B174='Policy card'!$C$3)),1,0)</f>
        <v>0</v>
      </c>
      <c r="G176" s="0" t="str">
        <f aca="false">IF(F176=1,H176,"")</f>
        <v/>
      </c>
      <c r="H176" s="0" t="n">
        <f aca="false">H175+F176</f>
        <v>1</v>
      </c>
      <c r="I176" s="0" t="n">
        <f aca="false">IF('Deferred edits'!G174="Waiting",1,0)</f>
        <v>0</v>
      </c>
      <c r="J176" s="0" t="str">
        <f aca="false">IF(I176=1,K176,"")</f>
        <v/>
      </c>
      <c r="K176" s="0" t="n">
        <f aca="false">K175+I176</f>
        <v>5</v>
      </c>
      <c r="L176" s="0" t="n">
        <f aca="false">IF(AND(Versions!B174&lt;&gt;"",Versions!B174='Policy card'!$C$3),1,0)</f>
        <v>0</v>
      </c>
      <c r="M176" s="0" t="str">
        <f aca="false">IF(L176=1,N176,"")</f>
        <v/>
      </c>
      <c r="N176" s="0" t="n">
        <f aca="false">N175+L176</f>
        <v>2</v>
      </c>
      <c r="P176" s="0" t="n">
        <f aca="false">IF(AND(Comments!B174='Policy card'!$C$3,Comments!N174="Closed"),1,0)</f>
        <v>0</v>
      </c>
      <c r="Q176" s="0" t="n">
        <f aca="false">Q175+P176</f>
        <v>7</v>
      </c>
    </row>
    <row r="177" customFormat="false" ht="15" hidden="false" customHeight="false" outlineLevel="0" collapsed="false">
      <c r="A177" s="0" t="str">
        <f aca="false">IF(OR(Drafts!A175="",Drafts!E175="Withdrawn",AND(Drafts!E175="Adopted",OR(Drafts!N175="Complete",Drafts!N175="Not needed"))),"",IFERROR(MATCH(Drafts!E175,StageList,0),99)*1000+175)</f>
        <v/>
      </c>
      <c r="C177" s="0" t="n">
        <f aca="false">IF(AND(Comments!B175='Policy card'!$C$3,Comments!N175="Open"),1,0)</f>
        <v>0</v>
      </c>
      <c r="D177" s="0" t="str">
        <f aca="false">IF(C177=1,E177,IF(P177=1,$E$2003+Q177,""))</f>
        <v/>
      </c>
      <c r="E177" s="0" t="n">
        <f aca="false">E176+C177</f>
        <v>0</v>
      </c>
      <c r="F177" s="0" t="n">
        <f aca="false">IF(AND('Deferred edits'!C175&lt;&gt;"",OR('Deferred edits'!C175='Policy card'!$C$3,'Deferred edits'!B175='Policy card'!$C$3)),1,0)</f>
        <v>0</v>
      </c>
      <c r="G177" s="0" t="str">
        <f aca="false">IF(F177=1,H177,"")</f>
        <v/>
      </c>
      <c r="H177" s="0" t="n">
        <f aca="false">H176+F177</f>
        <v>1</v>
      </c>
      <c r="I177" s="0" t="n">
        <f aca="false">IF('Deferred edits'!G175="Waiting",1,0)</f>
        <v>0</v>
      </c>
      <c r="J177" s="0" t="str">
        <f aca="false">IF(I177=1,K177,"")</f>
        <v/>
      </c>
      <c r="K177" s="0" t="n">
        <f aca="false">K176+I177</f>
        <v>5</v>
      </c>
      <c r="L177" s="0" t="n">
        <f aca="false">IF(AND(Versions!B175&lt;&gt;"",Versions!B175='Policy card'!$C$3),1,0)</f>
        <v>0</v>
      </c>
      <c r="M177" s="0" t="str">
        <f aca="false">IF(L177=1,N177,"")</f>
        <v/>
      </c>
      <c r="N177" s="0" t="n">
        <f aca="false">N176+L177</f>
        <v>2</v>
      </c>
      <c r="P177" s="0" t="n">
        <f aca="false">IF(AND(Comments!B175='Policy card'!$C$3,Comments!N175="Closed"),1,0)</f>
        <v>0</v>
      </c>
      <c r="Q177" s="0" t="n">
        <f aca="false">Q176+P177</f>
        <v>7</v>
      </c>
    </row>
    <row r="178" customFormat="false" ht="15" hidden="false" customHeight="false" outlineLevel="0" collapsed="false">
      <c r="A178" s="0" t="str">
        <f aca="false">IF(OR(Drafts!A176="",Drafts!E176="Withdrawn",AND(Drafts!E176="Adopted",OR(Drafts!N176="Complete",Drafts!N176="Not needed"))),"",IFERROR(MATCH(Drafts!E176,StageList,0),99)*1000+176)</f>
        <v/>
      </c>
      <c r="C178" s="0" t="n">
        <f aca="false">IF(AND(Comments!B176='Policy card'!$C$3,Comments!N176="Open"),1,0)</f>
        <v>0</v>
      </c>
      <c r="D178" s="0" t="str">
        <f aca="false">IF(C178=1,E178,IF(P178=1,$E$2003+Q178,""))</f>
        <v/>
      </c>
      <c r="E178" s="0" t="n">
        <f aca="false">E177+C178</f>
        <v>0</v>
      </c>
      <c r="F178" s="0" t="n">
        <f aca="false">IF(AND('Deferred edits'!C176&lt;&gt;"",OR('Deferred edits'!C176='Policy card'!$C$3,'Deferred edits'!B176='Policy card'!$C$3)),1,0)</f>
        <v>0</v>
      </c>
      <c r="G178" s="0" t="str">
        <f aca="false">IF(F178=1,H178,"")</f>
        <v/>
      </c>
      <c r="H178" s="0" t="n">
        <f aca="false">H177+F178</f>
        <v>1</v>
      </c>
      <c r="I178" s="0" t="n">
        <f aca="false">IF('Deferred edits'!G176="Waiting",1,0)</f>
        <v>0</v>
      </c>
      <c r="J178" s="0" t="str">
        <f aca="false">IF(I178=1,K178,"")</f>
        <v/>
      </c>
      <c r="K178" s="0" t="n">
        <f aca="false">K177+I178</f>
        <v>5</v>
      </c>
      <c r="L178" s="0" t="n">
        <f aca="false">IF(AND(Versions!B176&lt;&gt;"",Versions!B176='Policy card'!$C$3),1,0)</f>
        <v>0</v>
      </c>
      <c r="M178" s="0" t="str">
        <f aca="false">IF(L178=1,N178,"")</f>
        <v/>
      </c>
      <c r="N178" s="0" t="n">
        <f aca="false">N177+L178</f>
        <v>2</v>
      </c>
      <c r="P178" s="0" t="n">
        <f aca="false">IF(AND(Comments!B176='Policy card'!$C$3,Comments!N176="Closed"),1,0)</f>
        <v>0</v>
      </c>
      <c r="Q178" s="0" t="n">
        <f aca="false">Q177+P178</f>
        <v>7</v>
      </c>
    </row>
    <row r="179" customFormat="false" ht="15" hidden="false" customHeight="false" outlineLevel="0" collapsed="false">
      <c r="A179" s="0" t="str">
        <f aca="false">IF(OR(Drafts!A177="",Drafts!E177="Withdrawn",AND(Drafts!E177="Adopted",OR(Drafts!N177="Complete",Drafts!N177="Not needed"))),"",IFERROR(MATCH(Drafts!E177,StageList,0),99)*1000+177)</f>
        <v/>
      </c>
      <c r="C179" s="0" t="n">
        <f aca="false">IF(AND(Comments!B177='Policy card'!$C$3,Comments!N177="Open"),1,0)</f>
        <v>0</v>
      </c>
      <c r="D179" s="0" t="str">
        <f aca="false">IF(C179=1,E179,IF(P179=1,$E$2003+Q179,""))</f>
        <v/>
      </c>
      <c r="E179" s="0" t="n">
        <f aca="false">E178+C179</f>
        <v>0</v>
      </c>
      <c r="F179" s="0" t="n">
        <f aca="false">IF(AND('Deferred edits'!C177&lt;&gt;"",OR('Deferred edits'!C177='Policy card'!$C$3,'Deferred edits'!B177='Policy card'!$C$3)),1,0)</f>
        <v>0</v>
      </c>
      <c r="G179" s="0" t="str">
        <f aca="false">IF(F179=1,H179,"")</f>
        <v/>
      </c>
      <c r="H179" s="0" t="n">
        <f aca="false">H178+F179</f>
        <v>1</v>
      </c>
      <c r="I179" s="0" t="n">
        <f aca="false">IF('Deferred edits'!G177="Waiting",1,0)</f>
        <v>0</v>
      </c>
      <c r="J179" s="0" t="str">
        <f aca="false">IF(I179=1,K179,"")</f>
        <v/>
      </c>
      <c r="K179" s="0" t="n">
        <f aca="false">K178+I179</f>
        <v>5</v>
      </c>
      <c r="L179" s="0" t="n">
        <f aca="false">IF(AND(Versions!B177&lt;&gt;"",Versions!B177='Policy card'!$C$3),1,0)</f>
        <v>0</v>
      </c>
      <c r="M179" s="0" t="str">
        <f aca="false">IF(L179=1,N179,"")</f>
        <v/>
      </c>
      <c r="N179" s="0" t="n">
        <f aca="false">N178+L179</f>
        <v>2</v>
      </c>
      <c r="P179" s="0" t="n">
        <f aca="false">IF(AND(Comments!B177='Policy card'!$C$3,Comments!N177="Closed"),1,0)</f>
        <v>0</v>
      </c>
      <c r="Q179" s="0" t="n">
        <f aca="false">Q178+P179</f>
        <v>7</v>
      </c>
    </row>
    <row r="180" customFormat="false" ht="15" hidden="false" customHeight="false" outlineLevel="0" collapsed="false">
      <c r="A180" s="0" t="str">
        <f aca="false">IF(OR(Drafts!A178="",Drafts!E178="Withdrawn",AND(Drafts!E178="Adopted",OR(Drafts!N178="Complete",Drafts!N178="Not needed"))),"",IFERROR(MATCH(Drafts!E178,StageList,0),99)*1000+178)</f>
        <v/>
      </c>
      <c r="C180" s="0" t="n">
        <f aca="false">IF(AND(Comments!B178='Policy card'!$C$3,Comments!N178="Open"),1,0)</f>
        <v>0</v>
      </c>
      <c r="D180" s="0" t="str">
        <f aca="false">IF(C180=1,E180,IF(P180=1,$E$2003+Q180,""))</f>
        <v/>
      </c>
      <c r="E180" s="0" t="n">
        <f aca="false">E179+C180</f>
        <v>0</v>
      </c>
      <c r="F180" s="0" t="n">
        <f aca="false">IF(AND('Deferred edits'!C178&lt;&gt;"",OR('Deferred edits'!C178='Policy card'!$C$3,'Deferred edits'!B178='Policy card'!$C$3)),1,0)</f>
        <v>0</v>
      </c>
      <c r="G180" s="0" t="str">
        <f aca="false">IF(F180=1,H180,"")</f>
        <v/>
      </c>
      <c r="H180" s="0" t="n">
        <f aca="false">H179+F180</f>
        <v>1</v>
      </c>
      <c r="I180" s="0" t="n">
        <f aca="false">IF('Deferred edits'!G178="Waiting",1,0)</f>
        <v>0</v>
      </c>
      <c r="J180" s="0" t="str">
        <f aca="false">IF(I180=1,K180,"")</f>
        <v/>
      </c>
      <c r="K180" s="0" t="n">
        <f aca="false">K179+I180</f>
        <v>5</v>
      </c>
      <c r="L180" s="0" t="n">
        <f aca="false">IF(AND(Versions!B178&lt;&gt;"",Versions!B178='Policy card'!$C$3),1,0)</f>
        <v>0</v>
      </c>
      <c r="M180" s="0" t="str">
        <f aca="false">IF(L180=1,N180,"")</f>
        <v/>
      </c>
      <c r="N180" s="0" t="n">
        <f aca="false">N179+L180</f>
        <v>2</v>
      </c>
      <c r="P180" s="0" t="n">
        <f aca="false">IF(AND(Comments!B178='Policy card'!$C$3,Comments!N178="Closed"),1,0)</f>
        <v>0</v>
      </c>
      <c r="Q180" s="0" t="n">
        <f aca="false">Q179+P180</f>
        <v>7</v>
      </c>
    </row>
    <row r="181" customFormat="false" ht="15" hidden="false" customHeight="false" outlineLevel="0" collapsed="false">
      <c r="A181" s="0" t="str">
        <f aca="false">IF(OR(Drafts!A179="",Drafts!E179="Withdrawn",AND(Drafts!E179="Adopted",OR(Drafts!N179="Complete",Drafts!N179="Not needed"))),"",IFERROR(MATCH(Drafts!E179,StageList,0),99)*1000+179)</f>
        <v/>
      </c>
      <c r="C181" s="0" t="n">
        <f aca="false">IF(AND(Comments!B179='Policy card'!$C$3,Comments!N179="Open"),1,0)</f>
        <v>0</v>
      </c>
      <c r="D181" s="0" t="str">
        <f aca="false">IF(C181=1,E181,IF(P181=1,$E$2003+Q181,""))</f>
        <v/>
      </c>
      <c r="E181" s="0" t="n">
        <f aca="false">E180+C181</f>
        <v>0</v>
      </c>
      <c r="F181" s="0" t="n">
        <f aca="false">IF(AND('Deferred edits'!C179&lt;&gt;"",OR('Deferred edits'!C179='Policy card'!$C$3,'Deferred edits'!B179='Policy card'!$C$3)),1,0)</f>
        <v>0</v>
      </c>
      <c r="G181" s="0" t="str">
        <f aca="false">IF(F181=1,H181,"")</f>
        <v/>
      </c>
      <c r="H181" s="0" t="n">
        <f aca="false">H180+F181</f>
        <v>1</v>
      </c>
      <c r="I181" s="0" t="n">
        <f aca="false">IF('Deferred edits'!G179="Waiting",1,0)</f>
        <v>0</v>
      </c>
      <c r="J181" s="0" t="str">
        <f aca="false">IF(I181=1,K181,"")</f>
        <v/>
      </c>
      <c r="K181" s="0" t="n">
        <f aca="false">K180+I181</f>
        <v>5</v>
      </c>
      <c r="L181" s="0" t="n">
        <f aca="false">IF(AND(Versions!B179&lt;&gt;"",Versions!B179='Policy card'!$C$3),1,0)</f>
        <v>0</v>
      </c>
      <c r="M181" s="0" t="str">
        <f aca="false">IF(L181=1,N181,"")</f>
        <v/>
      </c>
      <c r="N181" s="0" t="n">
        <f aca="false">N180+L181</f>
        <v>2</v>
      </c>
      <c r="P181" s="0" t="n">
        <f aca="false">IF(AND(Comments!B179='Policy card'!$C$3,Comments!N179="Closed"),1,0)</f>
        <v>0</v>
      </c>
      <c r="Q181" s="0" t="n">
        <f aca="false">Q180+P181</f>
        <v>7</v>
      </c>
    </row>
    <row r="182" customFormat="false" ht="15" hidden="false" customHeight="false" outlineLevel="0" collapsed="false">
      <c r="A182" s="0" t="str">
        <f aca="false">IF(OR(Drafts!A180="",Drafts!E180="Withdrawn",AND(Drafts!E180="Adopted",OR(Drafts!N180="Complete",Drafts!N180="Not needed"))),"",IFERROR(MATCH(Drafts!E180,StageList,0),99)*1000+180)</f>
        <v/>
      </c>
      <c r="C182" s="0" t="n">
        <f aca="false">IF(AND(Comments!B180='Policy card'!$C$3,Comments!N180="Open"),1,0)</f>
        <v>0</v>
      </c>
      <c r="D182" s="0" t="str">
        <f aca="false">IF(C182=1,E182,IF(P182=1,$E$2003+Q182,""))</f>
        <v/>
      </c>
      <c r="E182" s="0" t="n">
        <f aca="false">E181+C182</f>
        <v>0</v>
      </c>
      <c r="F182" s="0" t="n">
        <f aca="false">IF(AND('Deferred edits'!C180&lt;&gt;"",OR('Deferred edits'!C180='Policy card'!$C$3,'Deferred edits'!B180='Policy card'!$C$3)),1,0)</f>
        <v>0</v>
      </c>
      <c r="G182" s="0" t="str">
        <f aca="false">IF(F182=1,H182,"")</f>
        <v/>
      </c>
      <c r="H182" s="0" t="n">
        <f aca="false">H181+F182</f>
        <v>1</v>
      </c>
      <c r="I182" s="0" t="n">
        <f aca="false">IF('Deferred edits'!G180="Waiting",1,0)</f>
        <v>0</v>
      </c>
      <c r="J182" s="0" t="str">
        <f aca="false">IF(I182=1,K182,"")</f>
        <v/>
      </c>
      <c r="K182" s="0" t="n">
        <f aca="false">K181+I182</f>
        <v>5</v>
      </c>
      <c r="L182" s="0" t="n">
        <f aca="false">IF(AND(Versions!B180&lt;&gt;"",Versions!B180='Policy card'!$C$3),1,0)</f>
        <v>0</v>
      </c>
      <c r="M182" s="0" t="str">
        <f aca="false">IF(L182=1,N182,"")</f>
        <v/>
      </c>
      <c r="N182" s="0" t="n">
        <f aca="false">N181+L182</f>
        <v>2</v>
      </c>
      <c r="P182" s="0" t="n">
        <f aca="false">IF(AND(Comments!B180='Policy card'!$C$3,Comments!N180="Closed"),1,0)</f>
        <v>0</v>
      </c>
      <c r="Q182" s="0" t="n">
        <f aca="false">Q181+P182</f>
        <v>7</v>
      </c>
    </row>
    <row r="183" customFormat="false" ht="15" hidden="false" customHeight="false" outlineLevel="0" collapsed="false">
      <c r="A183" s="0" t="str">
        <f aca="false">IF(OR(Drafts!A181="",Drafts!E181="Withdrawn",AND(Drafts!E181="Adopted",OR(Drafts!N181="Complete",Drafts!N181="Not needed"))),"",IFERROR(MATCH(Drafts!E181,StageList,0),99)*1000+181)</f>
        <v/>
      </c>
      <c r="C183" s="0" t="n">
        <f aca="false">IF(AND(Comments!B181='Policy card'!$C$3,Comments!N181="Open"),1,0)</f>
        <v>0</v>
      </c>
      <c r="D183" s="0" t="str">
        <f aca="false">IF(C183=1,E183,IF(P183=1,$E$2003+Q183,""))</f>
        <v/>
      </c>
      <c r="E183" s="0" t="n">
        <f aca="false">E182+C183</f>
        <v>0</v>
      </c>
      <c r="F183" s="0" t="n">
        <f aca="false">IF(AND('Deferred edits'!C181&lt;&gt;"",OR('Deferred edits'!C181='Policy card'!$C$3,'Deferred edits'!B181='Policy card'!$C$3)),1,0)</f>
        <v>0</v>
      </c>
      <c r="G183" s="0" t="str">
        <f aca="false">IF(F183=1,H183,"")</f>
        <v/>
      </c>
      <c r="H183" s="0" t="n">
        <f aca="false">H182+F183</f>
        <v>1</v>
      </c>
      <c r="I183" s="0" t="n">
        <f aca="false">IF('Deferred edits'!G181="Waiting",1,0)</f>
        <v>0</v>
      </c>
      <c r="J183" s="0" t="str">
        <f aca="false">IF(I183=1,K183,"")</f>
        <v/>
      </c>
      <c r="K183" s="0" t="n">
        <f aca="false">K182+I183</f>
        <v>5</v>
      </c>
      <c r="L183" s="0" t="n">
        <f aca="false">IF(AND(Versions!B181&lt;&gt;"",Versions!B181='Policy card'!$C$3),1,0)</f>
        <v>0</v>
      </c>
      <c r="M183" s="0" t="str">
        <f aca="false">IF(L183=1,N183,"")</f>
        <v/>
      </c>
      <c r="N183" s="0" t="n">
        <f aca="false">N182+L183</f>
        <v>2</v>
      </c>
      <c r="P183" s="0" t="n">
        <f aca="false">IF(AND(Comments!B181='Policy card'!$C$3,Comments!N181="Closed"),1,0)</f>
        <v>0</v>
      </c>
      <c r="Q183" s="0" t="n">
        <f aca="false">Q182+P183</f>
        <v>7</v>
      </c>
    </row>
    <row r="184" customFormat="false" ht="15" hidden="false" customHeight="false" outlineLevel="0" collapsed="false">
      <c r="A184" s="0" t="str">
        <f aca="false">IF(OR(Drafts!A182="",Drafts!E182="Withdrawn",AND(Drafts!E182="Adopted",OR(Drafts!N182="Complete",Drafts!N182="Not needed"))),"",IFERROR(MATCH(Drafts!E182,StageList,0),99)*1000+182)</f>
        <v/>
      </c>
      <c r="C184" s="0" t="n">
        <f aca="false">IF(AND(Comments!B182='Policy card'!$C$3,Comments!N182="Open"),1,0)</f>
        <v>0</v>
      </c>
      <c r="D184" s="0" t="str">
        <f aca="false">IF(C184=1,E184,IF(P184=1,$E$2003+Q184,""))</f>
        <v/>
      </c>
      <c r="E184" s="0" t="n">
        <f aca="false">E183+C184</f>
        <v>0</v>
      </c>
      <c r="F184" s="0" t="n">
        <f aca="false">IF(AND('Deferred edits'!C182&lt;&gt;"",OR('Deferred edits'!C182='Policy card'!$C$3,'Deferred edits'!B182='Policy card'!$C$3)),1,0)</f>
        <v>0</v>
      </c>
      <c r="G184" s="0" t="str">
        <f aca="false">IF(F184=1,H184,"")</f>
        <v/>
      </c>
      <c r="H184" s="0" t="n">
        <f aca="false">H183+F184</f>
        <v>1</v>
      </c>
      <c r="I184" s="0" t="n">
        <f aca="false">IF('Deferred edits'!G182="Waiting",1,0)</f>
        <v>0</v>
      </c>
      <c r="J184" s="0" t="str">
        <f aca="false">IF(I184=1,K184,"")</f>
        <v/>
      </c>
      <c r="K184" s="0" t="n">
        <f aca="false">K183+I184</f>
        <v>5</v>
      </c>
      <c r="L184" s="0" t="n">
        <f aca="false">IF(AND(Versions!B182&lt;&gt;"",Versions!B182='Policy card'!$C$3),1,0)</f>
        <v>0</v>
      </c>
      <c r="M184" s="0" t="str">
        <f aca="false">IF(L184=1,N184,"")</f>
        <v/>
      </c>
      <c r="N184" s="0" t="n">
        <f aca="false">N183+L184</f>
        <v>2</v>
      </c>
      <c r="P184" s="0" t="n">
        <f aca="false">IF(AND(Comments!B182='Policy card'!$C$3,Comments!N182="Closed"),1,0)</f>
        <v>0</v>
      </c>
      <c r="Q184" s="0" t="n">
        <f aca="false">Q183+P184</f>
        <v>7</v>
      </c>
    </row>
    <row r="185" customFormat="false" ht="15" hidden="false" customHeight="false" outlineLevel="0" collapsed="false">
      <c r="A185" s="0" t="str">
        <f aca="false">IF(OR(Drafts!A183="",Drafts!E183="Withdrawn",AND(Drafts!E183="Adopted",OR(Drafts!N183="Complete",Drafts!N183="Not needed"))),"",IFERROR(MATCH(Drafts!E183,StageList,0),99)*1000+183)</f>
        <v/>
      </c>
      <c r="C185" s="0" t="n">
        <f aca="false">IF(AND(Comments!B183='Policy card'!$C$3,Comments!N183="Open"),1,0)</f>
        <v>0</v>
      </c>
      <c r="D185" s="0" t="str">
        <f aca="false">IF(C185=1,E185,IF(P185=1,$E$2003+Q185,""))</f>
        <v/>
      </c>
      <c r="E185" s="0" t="n">
        <f aca="false">E184+C185</f>
        <v>0</v>
      </c>
      <c r="F185" s="0" t="n">
        <f aca="false">IF(AND('Deferred edits'!C183&lt;&gt;"",OR('Deferred edits'!C183='Policy card'!$C$3,'Deferred edits'!B183='Policy card'!$C$3)),1,0)</f>
        <v>0</v>
      </c>
      <c r="G185" s="0" t="str">
        <f aca="false">IF(F185=1,H185,"")</f>
        <v/>
      </c>
      <c r="H185" s="0" t="n">
        <f aca="false">H184+F185</f>
        <v>1</v>
      </c>
      <c r="I185" s="0" t="n">
        <f aca="false">IF('Deferred edits'!G183="Waiting",1,0)</f>
        <v>0</v>
      </c>
      <c r="J185" s="0" t="str">
        <f aca="false">IF(I185=1,K185,"")</f>
        <v/>
      </c>
      <c r="K185" s="0" t="n">
        <f aca="false">K184+I185</f>
        <v>5</v>
      </c>
      <c r="L185" s="0" t="n">
        <f aca="false">IF(AND(Versions!B183&lt;&gt;"",Versions!B183='Policy card'!$C$3),1,0)</f>
        <v>0</v>
      </c>
      <c r="M185" s="0" t="str">
        <f aca="false">IF(L185=1,N185,"")</f>
        <v/>
      </c>
      <c r="N185" s="0" t="n">
        <f aca="false">N184+L185</f>
        <v>2</v>
      </c>
      <c r="P185" s="0" t="n">
        <f aca="false">IF(AND(Comments!B183='Policy card'!$C$3,Comments!N183="Closed"),1,0)</f>
        <v>0</v>
      </c>
      <c r="Q185" s="0" t="n">
        <f aca="false">Q184+P185</f>
        <v>7</v>
      </c>
    </row>
    <row r="186" customFormat="false" ht="15" hidden="false" customHeight="false" outlineLevel="0" collapsed="false">
      <c r="A186" s="0" t="str">
        <f aca="false">IF(OR(Drafts!A184="",Drafts!E184="Withdrawn",AND(Drafts!E184="Adopted",OR(Drafts!N184="Complete",Drafts!N184="Not needed"))),"",IFERROR(MATCH(Drafts!E184,StageList,0),99)*1000+184)</f>
        <v/>
      </c>
      <c r="C186" s="0" t="n">
        <f aca="false">IF(AND(Comments!B184='Policy card'!$C$3,Comments!N184="Open"),1,0)</f>
        <v>0</v>
      </c>
      <c r="D186" s="0" t="str">
        <f aca="false">IF(C186=1,E186,IF(P186=1,$E$2003+Q186,""))</f>
        <v/>
      </c>
      <c r="E186" s="0" t="n">
        <f aca="false">E185+C186</f>
        <v>0</v>
      </c>
      <c r="F186" s="0" t="n">
        <f aca="false">IF(AND('Deferred edits'!C184&lt;&gt;"",OR('Deferred edits'!C184='Policy card'!$C$3,'Deferred edits'!B184='Policy card'!$C$3)),1,0)</f>
        <v>0</v>
      </c>
      <c r="G186" s="0" t="str">
        <f aca="false">IF(F186=1,H186,"")</f>
        <v/>
      </c>
      <c r="H186" s="0" t="n">
        <f aca="false">H185+F186</f>
        <v>1</v>
      </c>
      <c r="I186" s="0" t="n">
        <f aca="false">IF('Deferred edits'!G184="Waiting",1,0)</f>
        <v>0</v>
      </c>
      <c r="J186" s="0" t="str">
        <f aca="false">IF(I186=1,K186,"")</f>
        <v/>
      </c>
      <c r="K186" s="0" t="n">
        <f aca="false">K185+I186</f>
        <v>5</v>
      </c>
      <c r="L186" s="0" t="n">
        <f aca="false">IF(AND(Versions!B184&lt;&gt;"",Versions!B184='Policy card'!$C$3),1,0)</f>
        <v>0</v>
      </c>
      <c r="M186" s="0" t="str">
        <f aca="false">IF(L186=1,N186,"")</f>
        <v/>
      </c>
      <c r="N186" s="0" t="n">
        <f aca="false">N185+L186</f>
        <v>2</v>
      </c>
      <c r="P186" s="0" t="n">
        <f aca="false">IF(AND(Comments!B184='Policy card'!$C$3,Comments!N184="Closed"),1,0)</f>
        <v>0</v>
      </c>
      <c r="Q186" s="0" t="n">
        <f aca="false">Q185+P186</f>
        <v>7</v>
      </c>
    </row>
    <row r="187" customFormat="false" ht="15" hidden="false" customHeight="false" outlineLevel="0" collapsed="false">
      <c r="A187" s="0" t="str">
        <f aca="false">IF(OR(Drafts!A185="",Drafts!E185="Withdrawn",AND(Drafts!E185="Adopted",OR(Drafts!N185="Complete",Drafts!N185="Not needed"))),"",IFERROR(MATCH(Drafts!E185,StageList,0),99)*1000+185)</f>
        <v/>
      </c>
      <c r="C187" s="0" t="n">
        <f aca="false">IF(AND(Comments!B185='Policy card'!$C$3,Comments!N185="Open"),1,0)</f>
        <v>0</v>
      </c>
      <c r="D187" s="0" t="str">
        <f aca="false">IF(C187=1,E187,IF(P187=1,$E$2003+Q187,""))</f>
        <v/>
      </c>
      <c r="E187" s="0" t="n">
        <f aca="false">E186+C187</f>
        <v>0</v>
      </c>
      <c r="F187" s="0" t="n">
        <f aca="false">IF(AND('Deferred edits'!C185&lt;&gt;"",OR('Deferred edits'!C185='Policy card'!$C$3,'Deferred edits'!B185='Policy card'!$C$3)),1,0)</f>
        <v>0</v>
      </c>
      <c r="G187" s="0" t="str">
        <f aca="false">IF(F187=1,H187,"")</f>
        <v/>
      </c>
      <c r="H187" s="0" t="n">
        <f aca="false">H186+F187</f>
        <v>1</v>
      </c>
      <c r="I187" s="0" t="n">
        <f aca="false">IF('Deferred edits'!G185="Waiting",1,0)</f>
        <v>0</v>
      </c>
      <c r="J187" s="0" t="str">
        <f aca="false">IF(I187=1,K187,"")</f>
        <v/>
      </c>
      <c r="K187" s="0" t="n">
        <f aca="false">K186+I187</f>
        <v>5</v>
      </c>
      <c r="L187" s="0" t="n">
        <f aca="false">IF(AND(Versions!B185&lt;&gt;"",Versions!B185='Policy card'!$C$3),1,0)</f>
        <v>0</v>
      </c>
      <c r="M187" s="0" t="str">
        <f aca="false">IF(L187=1,N187,"")</f>
        <v/>
      </c>
      <c r="N187" s="0" t="n">
        <f aca="false">N186+L187</f>
        <v>2</v>
      </c>
      <c r="P187" s="0" t="n">
        <f aca="false">IF(AND(Comments!B185='Policy card'!$C$3,Comments!N185="Closed"),1,0)</f>
        <v>0</v>
      </c>
      <c r="Q187" s="0" t="n">
        <f aca="false">Q186+P187</f>
        <v>7</v>
      </c>
    </row>
    <row r="188" customFormat="false" ht="15" hidden="false" customHeight="false" outlineLevel="0" collapsed="false">
      <c r="A188" s="0" t="str">
        <f aca="false">IF(OR(Drafts!A186="",Drafts!E186="Withdrawn",AND(Drafts!E186="Adopted",OR(Drafts!N186="Complete",Drafts!N186="Not needed"))),"",IFERROR(MATCH(Drafts!E186,StageList,0),99)*1000+186)</f>
        <v/>
      </c>
      <c r="C188" s="0" t="n">
        <f aca="false">IF(AND(Comments!B186='Policy card'!$C$3,Comments!N186="Open"),1,0)</f>
        <v>0</v>
      </c>
      <c r="D188" s="0" t="str">
        <f aca="false">IF(C188=1,E188,IF(P188=1,$E$2003+Q188,""))</f>
        <v/>
      </c>
      <c r="E188" s="0" t="n">
        <f aca="false">E187+C188</f>
        <v>0</v>
      </c>
      <c r="F188" s="0" t="n">
        <f aca="false">IF(AND('Deferred edits'!C186&lt;&gt;"",OR('Deferred edits'!C186='Policy card'!$C$3,'Deferred edits'!B186='Policy card'!$C$3)),1,0)</f>
        <v>0</v>
      </c>
      <c r="G188" s="0" t="str">
        <f aca="false">IF(F188=1,H188,"")</f>
        <v/>
      </c>
      <c r="H188" s="0" t="n">
        <f aca="false">H187+F188</f>
        <v>1</v>
      </c>
      <c r="I188" s="0" t="n">
        <f aca="false">IF('Deferred edits'!G186="Waiting",1,0)</f>
        <v>0</v>
      </c>
      <c r="J188" s="0" t="str">
        <f aca="false">IF(I188=1,K188,"")</f>
        <v/>
      </c>
      <c r="K188" s="0" t="n">
        <f aca="false">K187+I188</f>
        <v>5</v>
      </c>
      <c r="L188" s="0" t="n">
        <f aca="false">IF(AND(Versions!B186&lt;&gt;"",Versions!B186='Policy card'!$C$3),1,0)</f>
        <v>0</v>
      </c>
      <c r="M188" s="0" t="str">
        <f aca="false">IF(L188=1,N188,"")</f>
        <v/>
      </c>
      <c r="N188" s="0" t="n">
        <f aca="false">N187+L188</f>
        <v>2</v>
      </c>
      <c r="P188" s="0" t="n">
        <f aca="false">IF(AND(Comments!B186='Policy card'!$C$3,Comments!N186="Closed"),1,0)</f>
        <v>0</v>
      </c>
      <c r="Q188" s="0" t="n">
        <f aca="false">Q187+P188</f>
        <v>7</v>
      </c>
    </row>
    <row r="189" customFormat="false" ht="15" hidden="false" customHeight="false" outlineLevel="0" collapsed="false">
      <c r="A189" s="0" t="str">
        <f aca="false">IF(OR(Drafts!A187="",Drafts!E187="Withdrawn",AND(Drafts!E187="Adopted",OR(Drafts!N187="Complete",Drafts!N187="Not needed"))),"",IFERROR(MATCH(Drafts!E187,StageList,0),99)*1000+187)</f>
        <v/>
      </c>
      <c r="C189" s="0" t="n">
        <f aca="false">IF(AND(Comments!B187='Policy card'!$C$3,Comments!N187="Open"),1,0)</f>
        <v>0</v>
      </c>
      <c r="D189" s="0" t="str">
        <f aca="false">IF(C189=1,E189,IF(P189=1,$E$2003+Q189,""))</f>
        <v/>
      </c>
      <c r="E189" s="0" t="n">
        <f aca="false">E188+C189</f>
        <v>0</v>
      </c>
      <c r="F189" s="0" t="n">
        <f aca="false">IF(AND('Deferred edits'!C187&lt;&gt;"",OR('Deferred edits'!C187='Policy card'!$C$3,'Deferred edits'!B187='Policy card'!$C$3)),1,0)</f>
        <v>0</v>
      </c>
      <c r="G189" s="0" t="str">
        <f aca="false">IF(F189=1,H189,"")</f>
        <v/>
      </c>
      <c r="H189" s="0" t="n">
        <f aca="false">H188+F189</f>
        <v>1</v>
      </c>
      <c r="I189" s="0" t="n">
        <f aca="false">IF('Deferred edits'!G187="Waiting",1,0)</f>
        <v>0</v>
      </c>
      <c r="J189" s="0" t="str">
        <f aca="false">IF(I189=1,K189,"")</f>
        <v/>
      </c>
      <c r="K189" s="0" t="n">
        <f aca="false">K188+I189</f>
        <v>5</v>
      </c>
      <c r="L189" s="0" t="n">
        <f aca="false">IF(AND(Versions!B187&lt;&gt;"",Versions!B187='Policy card'!$C$3),1,0)</f>
        <v>0</v>
      </c>
      <c r="M189" s="0" t="str">
        <f aca="false">IF(L189=1,N189,"")</f>
        <v/>
      </c>
      <c r="N189" s="0" t="n">
        <f aca="false">N188+L189</f>
        <v>2</v>
      </c>
      <c r="P189" s="0" t="n">
        <f aca="false">IF(AND(Comments!B187='Policy card'!$C$3,Comments!N187="Closed"),1,0)</f>
        <v>0</v>
      </c>
      <c r="Q189" s="0" t="n">
        <f aca="false">Q188+P189</f>
        <v>7</v>
      </c>
    </row>
    <row r="190" customFormat="false" ht="15" hidden="false" customHeight="false" outlineLevel="0" collapsed="false">
      <c r="A190" s="0" t="str">
        <f aca="false">IF(OR(Drafts!A188="",Drafts!E188="Withdrawn",AND(Drafts!E188="Adopted",OR(Drafts!N188="Complete",Drafts!N188="Not needed"))),"",IFERROR(MATCH(Drafts!E188,StageList,0),99)*1000+188)</f>
        <v/>
      </c>
      <c r="C190" s="0" t="n">
        <f aca="false">IF(AND(Comments!B188='Policy card'!$C$3,Comments!N188="Open"),1,0)</f>
        <v>0</v>
      </c>
      <c r="D190" s="0" t="str">
        <f aca="false">IF(C190=1,E190,IF(P190=1,$E$2003+Q190,""))</f>
        <v/>
      </c>
      <c r="E190" s="0" t="n">
        <f aca="false">E189+C190</f>
        <v>0</v>
      </c>
      <c r="F190" s="0" t="n">
        <f aca="false">IF(AND('Deferred edits'!C188&lt;&gt;"",OR('Deferred edits'!C188='Policy card'!$C$3,'Deferred edits'!B188='Policy card'!$C$3)),1,0)</f>
        <v>0</v>
      </c>
      <c r="G190" s="0" t="str">
        <f aca="false">IF(F190=1,H190,"")</f>
        <v/>
      </c>
      <c r="H190" s="0" t="n">
        <f aca="false">H189+F190</f>
        <v>1</v>
      </c>
      <c r="I190" s="0" t="n">
        <f aca="false">IF('Deferred edits'!G188="Waiting",1,0)</f>
        <v>0</v>
      </c>
      <c r="J190" s="0" t="str">
        <f aca="false">IF(I190=1,K190,"")</f>
        <v/>
      </c>
      <c r="K190" s="0" t="n">
        <f aca="false">K189+I190</f>
        <v>5</v>
      </c>
      <c r="L190" s="0" t="n">
        <f aca="false">IF(AND(Versions!B188&lt;&gt;"",Versions!B188='Policy card'!$C$3),1,0)</f>
        <v>0</v>
      </c>
      <c r="M190" s="0" t="str">
        <f aca="false">IF(L190=1,N190,"")</f>
        <v/>
      </c>
      <c r="N190" s="0" t="n">
        <f aca="false">N189+L190</f>
        <v>2</v>
      </c>
      <c r="P190" s="0" t="n">
        <f aca="false">IF(AND(Comments!B188='Policy card'!$C$3,Comments!N188="Closed"),1,0)</f>
        <v>0</v>
      </c>
      <c r="Q190" s="0" t="n">
        <f aca="false">Q189+P190</f>
        <v>7</v>
      </c>
    </row>
    <row r="191" customFormat="false" ht="15" hidden="false" customHeight="false" outlineLevel="0" collapsed="false">
      <c r="A191" s="0" t="str">
        <f aca="false">IF(OR(Drafts!A189="",Drafts!E189="Withdrawn",AND(Drafts!E189="Adopted",OR(Drafts!N189="Complete",Drafts!N189="Not needed"))),"",IFERROR(MATCH(Drafts!E189,StageList,0),99)*1000+189)</f>
        <v/>
      </c>
      <c r="C191" s="0" t="n">
        <f aca="false">IF(AND(Comments!B189='Policy card'!$C$3,Comments!N189="Open"),1,0)</f>
        <v>0</v>
      </c>
      <c r="D191" s="0" t="str">
        <f aca="false">IF(C191=1,E191,IF(P191=1,$E$2003+Q191,""))</f>
        <v/>
      </c>
      <c r="E191" s="0" t="n">
        <f aca="false">E190+C191</f>
        <v>0</v>
      </c>
      <c r="F191" s="0" t="n">
        <f aca="false">IF(AND('Deferred edits'!C189&lt;&gt;"",OR('Deferred edits'!C189='Policy card'!$C$3,'Deferred edits'!B189='Policy card'!$C$3)),1,0)</f>
        <v>0</v>
      </c>
      <c r="G191" s="0" t="str">
        <f aca="false">IF(F191=1,H191,"")</f>
        <v/>
      </c>
      <c r="H191" s="0" t="n">
        <f aca="false">H190+F191</f>
        <v>1</v>
      </c>
      <c r="I191" s="0" t="n">
        <f aca="false">IF('Deferred edits'!G189="Waiting",1,0)</f>
        <v>0</v>
      </c>
      <c r="J191" s="0" t="str">
        <f aca="false">IF(I191=1,K191,"")</f>
        <v/>
      </c>
      <c r="K191" s="0" t="n">
        <f aca="false">K190+I191</f>
        <v>5</v>
      </c>
      <c r="L191" s="0" t="n">
        <f aca="false">IF(AND(Versions!B189&lt;&gt;"",Versions!B189='Policy card'!$C$3),1,0)</f>
        <v>0</v>
      </c>
      <c r="M191" s="0" t="str">
        <f aca="false">IF(L191=1,N191,"")</f>
        <v/>
      </c>
      <c r="N191" s="0" t="n">
        <f aca="false">N190+L191</f>
        <v>2</v>
      </c>
      <c r="P191" s="0" t="n">
        <f aca="false">IF(AND(Comments!B189='Policy card'!$C$3,Comments!N189="Closed"),1,0)</f>
        <v>0</v>
      </c>
      <c r="Q191" s="0" t="n">
        <f aca="false">Q190+P191</f>
        <v>7</v>
      </c>
    </row>
    <row r="192" customFormat="false" ht="15" hidden="false" customHeight="false" outlineLevel="0" collapsed="false">
      <c r="A192" s="0" t="str">
        <f aca="false">IF(OR(Drafts!A190="",Drafts!E190="Withdrawn",AND(Drafts!E190="Adopted",OR(Drafts!N190="Complete",Drafts!N190="Not needed"))),"",IFERROR(MATCH(Drafts!E190,StageList,0),99)*1000+190)</f>
        <v/>
      </c>
      <c r="C192" s="0" t="n">
        <f aca="false">IF(AND(Comments!B190='Policy card'!$C$3,Comments!N190="Open"),1,0)</f>
        <v>0</v>
      </c>
      <c r="D192" s="0" t="str">
        <f aca="false">IF(C192=1,E192,IF(P192=1,$E$2003+Q192,""))</f>
        <v/>
      </c>
      <c r="E192" s="0" t="n">
        <f aca="false">E191+C192</f>
        <v>0</v>
      </c>
      <c r="F192" s="0" t="n">
        <f aca="false">IF(AND('Deferred edits'!C190&lt;&gt;"",OR('Deferred edits'!C190='Policy card'!$C$3,'Deferred edits'!B190='Policy card'!$C$3)),1,0)</f>
        <v>0</v>
      </c>
      <c r="G192" s="0" t="str">
        <f aca="false">IF(F192=1,H192,"")</f>
        <v/>
      </c>
      <c r="H192" s="0" t="n">
        <f aca="false">H191+F192</f>
        <v>1</v>
      </c>
      <c r="I192" s="0" t="n">
        <f aca="false">IF('Deferred edits'!G190="Waiting",1,0)</f>
        <v>0</v>
      </c>
      <c r="J192" s="0" t="str">
        <f aca="false">IF(I192=1,K192,"")</f>
        <v/>
      </c>
      <c r="K192" s="0" t="n">
        <f aca="false">K191+I192</f>
        <v>5</v>
      </c>
      <c r="L192" s="0" t="n">
        <f aca="false">IF(AND(Versions!B190&lt;&gt;"",Versions!B190='Policy card'!$C$3),1,0)</f>
        <v>0</v>
      </c>
      <c r="M192" s="0" t="str">
        <f aca="false">IF(L192=1,N192,"")</f>
        <v/>
      </c>
      <c r="N192" s="0" t="n">
        <f aca="false">N191+L192</f>
        <v>2</v>
      </c>
      <c r="P192" s="0" t="n">
        <f aca="false">IF(AND(Comments!B190='Policy card'!$C$3,Comments!N190="Closed"),1,0)</f>
        <v>0</v>
      </c>
      <c r="Q192" s="0" t="n">
        <f aca="false">Q191+P192</f>
        <v>7</v>
      </c>
    </row>
    <row r="193" customFormat="false" ht="15" hidden="false" customHeight="false" outlineLevel="0" collapsed="false">
      <c r="A193" s="0" t="str">
        <f aca="false">IF(OR(Drafts!A191="",Drafts!E191="Withdrawn",AND(Drafts!E191="Adopted",OR(Drafts!N191="Complete",Drafts!N191="Not needed"))),"",IFERROR(MATCH(Drafts!E191,StageList,0),99)*1000+191)</f>
        <v/>
      </c>
      <c r="C193" s="0" t="n">
        <f aca="false">IF(AND(Comments!B191='Policy card'!$C$3,Comments!N191="Open"),1,0)</f>
        <v>0</v>
      </c>
      <c r="D193" s="0" t="str">
        <f aca="false">IF(C193=1,E193,IF(P193=1,$E$2003+Q193,""))</f>
        <v/>
      </c>
      <c r="E193" s="0" t="n">
        <f aca="false">E192+C193</f>
        <v>0</v>
      </c>
      <c r="F193" s="0" t="n">
        <f aca="false">IF(AND('Deferred edits'!C191&lt;&gt;"",OR('Deferred edits'!C191='Policy card'!$C$3,'Deferred edits'!B191='Policy card'!$C$3)),1,0)</f>
        <v>0</v>
      </c>
      <c r="G193" s="0" t="str">
        <f aca="false">IF(F193=1,H193,"")</f>
        <v/>
      </c>
      <c r="H193" s="0" t="n">
        <f aca="false">H192+F193</f>
        <v>1</v>
      </c>
      <c r="I193" s="0" t="n">
        <f aca="false">IF('Deferred edits'!G191="Waiting",1,0)</f>
        <v>0</v>
      </c>
      <c r="J193" s="0" t="str">
        <f aca="false">IF(I193=1,K193,"")</f>
        <v/>
      </c>
      <c r="K193" s="0" t="n">
        <f aca="false">K192+I193</f>
        <v>5</v>
      </c>
      <c r="L193" s="0" t="n">
        <f aca="false">IF(AND(Versions!B191&lt;&gt;"",Versions!B191='Policy card'!$C$3),1,0)</f>
        <v>0</v>
      </c>
      <c r="M193" s="0" t="str">
        <f aca="false">IF(L193=1,N193,"")</f>
        <v/>
      </c>
      <c r="N193" s="0" t="n">
        <f aca="false">N192+L193</f>
        <v>2</v>
      </c>
      <c r="P193" s="0" t="n">
        <f aca="false">IF(AND(Comments!B191='Policy card'!$C$3,Comments!N191="Closed"),1,0)</f>
        <v>0</v>
      </c>
      <c r="Q193" s="0" t="n">
        <f aca="false">Q192+P193</f>
        <v>7</v>
      </c>
    </row>
    <row r="194" customFormat="false" ht="15" hidden="false" customHeight="false" outlineLevel="0" collapsed="false">
      <c r="A194" s="0" t="str">
        <f aca="false">IF(OR(Drafts!A192="",Drafts!E192="Withdrawn",AND(Drafts!E192="Adopted",OR(Drafts!N192="Complete",Drafts!N192="Not needed"))),"",IFERROR(MATCH(Drafts!E192,StageList,0),99)*1000+192)</f>
        <v/>
      </c>
      <c r="C194" s="0" t="n">
        <f aca="false">IF(AND(Comments!B192='Policy card'!$C$3,Comments!N192="Open"),1,0)</f>
        <v>0</v>
      </c>
      <c r="D194" s="0" t="str">
        <f aca="false">IF(C194=1,E194,IF(P194=1,$E$2003+Q194,""))</f>
        <v/>
      </c>
      <c r="E194" s="0" t="n">
        <f aca="false">E193+C194</f>
        <v>0</v>
      </c>
      <c r="F194" s="0" t="n">
        <f aca="false">IF(AND('Deferred edits'!C192&lt;&gt;"",OR('Deferred edits'!C192='Policy card'!$C$3,'Deferred edits'!B192='Policy card'!$C$3)),1,0)</f>
        <v>0</v>
      </c>
      <c r="G194" s="0" t="str">
        <f aca="false">IF(F194=1,H194,"")</f>
        <v/>
      </c>
      <c r="H194" s="0" t="n">
        <f aca="false">H193+F194</f>
        <v>1</v>
      </c>
      <c r="I194" s="0" t="n">
        <f aca="false">IF('Deferred edits'!G192="Waiting",1,0)</f>
        <v>0</v>
      </c>
      <c r="J194" s="0" t="str">
        <f aca="false">IF(I194=1,K194,"")</f>
        <v/>
      </c>
      <c r="K194" s="0" t="n">
        <f aca="false">K193+I194</f>
        <v>5</v>
      </c>
      <c r="L194" s="0" t="n">
        <f aca="false">IF(AND(Versions!B192&lt;&gt;"",Versions!B192='Policy card'!$C$3),1,0)</f>
        <v>0</v>
      </c>
      <c r="M194" s="0" t="str">
        <f aca="false">IF(L194=1,N194,"")</f>
        <v/>
      </c>
      <c r="N194" s="0" t="n">
        <f aca="false">N193+L194</f>
        <v>2</v>
      </c>
      <c r="P194" s="0" t="n">
        <f aca="false">IF(AND(Comments!B192='Policy card'!$C$3,Comments!N192="Closed"),1,0)</f>
        <v>0</v>
      </c>
      <c r="Q194" s="0" t="n">
        <f aca="false">Q193+P194</f>
        <v>7</v>
      </c>
    </row>
    <row r="195" customFormat="false" ht="15" hidden="false" customHeight="false" outlineLevel="0" collapsed="false">
      <c r="A195" s="0" t="str">
        <f aca="false">IF(OR(Drafts!A193="",Drafts!E193="Withdrawn",AND(Drafts!E193="Adopted",OR(Drafts!N193="Complete",Drafts!N193="Not needed"))),"",IFERROR(MATCH(Drafts!E193,StageList,0),99)*1000+193)</f>
        <v/>
      </c>
      <c r="C195" s="0" t="n">
        <f aca="false">IF(AND(Comments!B193='Policy card'!$C$3,Comments!N193="Open"),1,0)</f>
        <v>0</v>
      </c>
      <c r="D195" s="0" t="str">
        <f aca="false">IF(C195=1,E195,IF(P195=1,$E$2003+Q195,""))</f>
        <v/>
      </c>
      <c r="E195" s="0" t="n">
        <f aca="false">E194+C195</f>
        <v>0</v>
      </c>
      <c r="F195" s="0" t="n">
        <f aca="false">IF(AND('Deferred edits'!C193&lt;&gt;"",OR('Deferred edits'!C193='Policy card'!$C$3,'Deferred edits'!B193='Policy card'!$C$3)),1,0)</f>
        <v>0</v>
      </c>
      <c r="G195" s="0" t="str">
        <f aca="false">IF(F195=1,H195,"")</f>
        <v/>
      </c>
      <c r="H195" s="0" t="n">
        <f aca="false">H194+F195</f>
        <v>1</v>
      </c>
      <c r="I195" s="0" t="n">
        <f aca="false">IF('Deferred edits'!G193="Waiting",1,0)</f>
        <v>0</v>
      </c>
      <c r="J195" s="0" t="str">
        <f aca="false">IF(I195=1,K195,"")</f>
        <v/>
      </c>
      <c r="K195" s="0" t="n">
        <f aca="false">K194+I195</f>
        <v>5</v>
      </c>
      <c r="L195" s="0" t="n">
        <f aca="false">IF(AND(Versions!B193&lt;&gt;"",Versions!B193='Policy card'!$C$3),1,0)</f>
        <v>0</v>
      </c>
      <c r="M195" s="0" t="str">
        <f aca="false">IF(L195=1,N195,"")</f>
        <v/>
      </c>
      <c r="N195" s="0" t="n">
        <f aca="false">N194+L195</f>
        <v>2</v>
      </c>
      <c r="P195" s="0" t="n">
        <f aca="false">IF(AND(Comments!B193='Policy card'!$C$3,Comments!N193="Closed"),1,0)</f>
        <v>0</v>
      </c>
      <c r="Q195" s="0" t="n">
        <f aca="false">Q194+P195</f>
        <v>7</v>
      </c>
    </row>
    <row r="196" customFormat="false" ht="15" hidden="false" customHeight="false" outlineLevel="0" collapsed="false">
      <c r="A196" s="0" t="str">
        <f aca="false">IF(OR(Drafts!A194="",Drafts!E194="Withdrawn",AND(Drafts!E194="Adopted",OR(Drafts!N194="Complete",Drafts!N194="Not needed"))),"",IFERROR(MATCH(Drafts!E194,StageList,0),99)*1000+194)</f>
        <v/>
      </c>
      <c r="C196" s="0" t="n">
        <f aca="false">IF(AND(Comments!B194='Policy card'!$C$3,Comments!N194="Open"),1,0)</f>
        <v>0</v>
      </c>
      <c r="D196" s="0" t="str">
        <f aca="false">IF(C196=1,E196,IF(P196=1,$E$2003+Q196,""))</f>
        <v/>
      </c>
      <c r="E196" s="0" t="n">
        <f aca="false">E195+C196</f>
        <v>0</v>
      </c>
      <c r="F196" s="0" t="n">
        <f aca="false">IF(AND('Deferred edits'!C194&lt;&gt;"",OR('Deferred edits'!C194='Policy card'!$C$3,'Deferred edits'!B194='Policy card'!$C$3)),1,0)</f>
        <v>0</v>
      </c>
      <c r="G196" s="0" t="str">
        <f aca="false">IF(F196=1,H196,"")</f>
        <v/>
      </c>
      <c r="H196" s="0" t="n">
        <f aca="false">H195+F196</f>
        <v>1</v>
      </c>
      <c r="I196" s="0" t="n">
        <f aca="false">IF('Deferred edits'!G194="Waiting",1,0)</f>
        <v>0</v>
      </c>
      <c r="J196" s="0" t="str">
        <f aca="false">IF(I196=1,K196,"")</f>
        <v/>
      </c>
      <c r="K196" s="0" t="n">
        <f aca="false">K195+I196</f>
        <v>5</v>
      </c>
      <c r="L196" s="0" t="n">
        <f aca="false">IF(AND(Versions!B194&lt;&gt;"",Versions!B194='Policy card'!$C$3),1,0)</f>
        <v>0</v>
      </c>
      <c r="M196" s="0" t="str">
        <f aca="false">IF(L196=1,N196,"")</f>
        <v/>
      </c>
      <c r="N196" s="0" t="n">
        <f aca="false">N195+L196</f>
        <v>2</v>
      </c>
      <c r="P196" s="0" t="n">
        <f aca="false">IF(AND(Comments!B194='Policy card'!$C$3,Comments!N194="Closed"),1,0)</f>
        <v>0</v>
      </c>
      <c r="Q196" s="0" t="n">
        <f aca="false">Q195+P196</f>
        <v>7</v>
      </c>
    </row>
    <row r="197" customFormat="false" ht="15" hidden="false" customHeight="false" outlineLevel="0" collapsed="false">
      <c r="A197" s="0" t="str">
        <f aca="false">IF(OR(Drafts!A195="",Drafts!E195="Withdrawn",AND(Drafts!E195="Adopted",OR(Drafts!N195="Complete",Drafts!N195="Not needed"))),"",IFERROR(MATCH(Drafts!E195,StageList,0),99)*1000+195)</f>
        <v/>
      </c>
      <c r="C197" s="0" t="n">
        <f aca="false">IF(AND(Comments!B195='Policy card'!$C$3,Comments!N195="Open"),1,0)</f>
        <v>0</v>
      </c>
      <c r="D197" s="0" t="str">
        <f aca="false">IF(C197=1,E197,IF(P197=1,$E$2003+Q197,""))</f>
        <v/>
      </c>
      <c r="E197" s="0" t="n">
        <f aca="false">E196+C197</f>
        <v>0</v>
      </c>
      <c r="F197" s="0" t="n">
        <f aca="false">IF(AND('Deferred edits'!C195&lt;&gt;"",OR('Deferred edits'!C195='Policy card'!$C$3,'Deferred edits'!B195='Policy card'!$C$3)),1,0)</f>
        <v>0</v>
      </c>
      <c r="G197" s="0" t="str">
        <f aca="false">IF(F197=1,H197,"")</f>
        <v/>
      </c>
      <c r="H197" s="0" t="n">
        <f aca="false">H196+F197</f>
        <v>1</v>
      </c>
      <c r="I197" s="0" t="n">
        <f aca="false">IF('Deferred edits'!G195="Waiting",1,0)</f>
        <v>0</v>
      </c>
      <c r="J197" s="0" t="str">
        <f aca="false">IF(I197=1,K197,"")</f>
        <v/>
      </c>
      <c r="K197" s="0" t="n">
        <f aca="false">K196+I197</f>
        <v>5</v>
      </c>
      <c r="L197" s="0" t="n">
        <f aca="false">IF(AND(Versions!B195&lt;&gt;"",Versions!B195='Policy card'!$C$3),1,0)</f>
        <v>0</v>
      </c>
      <c r="M197" s="0" t="str">
        <f aca="false">IF(L197=1,N197,"")</f>
        <v/>
      </c>
      <c r="N197" s="0" t="n">
        <f aca="false">N196+L197</f>
        <v>2</v>
      </c>
      <c r="P197" s="0" t="n">
        <f aca="false">IF(AND(Comments!B195='Policy card'!$C$3,Comments!N195="Closed"),1,0)</f>
        <v>0</v>
      </c>
      <c r="Q197" s="0" t="n">
        <f aca="false">Q196+P197</f>
        <v>7</v>
      </c>
    </row>
    <row r="198" customFormat="false" ht="15" hidden="false" customHeight="false" outlineLevel="0" collapsed="false">
      <c r="A198" s="0" t="str">
        <f aca="false">IF(OR(Drafts!A196="",Drafts!E196="Withdrawn",AND(Drafts!E196="Adopted",OR(Drafts!N196="Complete",Drafts!N196="Not needed"))),"",IFERROR(MATCH(Drafts!E196,StageList,0),99)*1000+196)</f>
        <v/>
      </c>
      <c r="C198" s="0" t="n">
        <f aca="false">IF(AND(Comments!B196='Policy card'!$C$3,Comments!N196="Open"),1,0)</f>
        <v>0</v>
      </c>
      <c r="D198" s="0" t="str">
        <f aca="false">IF(C198=1,E198,IF(P198=1,$E$2003+Q198,""))</f>
        <v/>
      </c>
      <c r="E198" s="0" t="n">
        <f aca="false">E197+C198</f>
        <v>0</v>
      </c>
      <c r="F198" s="0" t="n">
        <f aca="false">IF(AND('Deferred edits'!C196&lt;&gt;"",OR('Deferred edits'!C196='Policy card'!$C$3,'Deferred edits'!B196='Policy card'!$C$3)),1,0)</f>
        <v>0</v>
      </c>
      <c r="G198" s="0" t="str">
        <f aca="false">IF(F198=1,H198,"")</f>
        <v/>
      </c>
      <c r="H198" s="0" t="n">
        <f aca="false">H197+F198</f>
        <v>1</v>
      </c>
      <c r="I198" s="0" t="n">
        <f aca="false">IF('Deferred edits'!G196="Waiting",1,0)</f>
        <v>0</v>
      </c>
      <c r="J198" s="0" t="str">
        <f aca="false">IF(I198=1,K198,"")</f>
        <v/>
      </c>
      <c r="K198" s="0" t="n">
        <f aca="false">K197+I198</f>
        <v>5</v>
      </c>
      <c r="L198" s="0" t="n">
        <f aca="false">IF(AND(Versions!B196&lt;&gt;"",Versions!B196='Policy card'!$C$3),1,0)</f>
        <v>0</v>
      </c>
      <c r="M198" s="0" t="str">
        <f aca="false">IF(L198=1,N198,"")</f>
        <v/>
      </c>
      <c r="N198" s="0" t="n">
        <f aca="false">N197+L198</f>
        <v>2</v>
      </c>
      <c r="P198" s="0" t="n">
        <f aca="false">IF(AND(Comments!B196='Policy card'!$C$3,Comments!N196="Closed"),1,0)</f>
        <v>0</v>
      </c>
      <c r="Q198" s="0" t="n">
        <f aca="false">Q197+P198</f>
        <v>7</v>
      </c>
    </row>
    <row r="199" customFormat="false" ht="15" hidden="false" customHeight="false" outlineLevel="0" collapsed="false">
      <c r="A199" s="0" t="str">
        <f aca="false">IF(OR(Drafts!A197="",Drafts!E197="Withdrawn",AND(Drafts!E197="Adopted",OR(Drafts!N197="Complete",Drafts!N197="Not needed"))),"",IFERROR(MATCH(Drafts!E197,StageList,0),99)*1000+197)</f>
        <v/>
      </c>
      <c r="C199" s="0" t="n">
        <f aca="false">IF(AND(Comments!B197='Policy card'!$C$3,Comments!N197="Open"),1,0)</f>
        <v>0</v>
      </c>
      <c r="D199" s="0" t="str">
        <f aca="false">IF(C199=1,E199,IF(P199=1,$E$2003+Q199,""))</f>
        <v/>
      </c>
      <c r="E199" s="0" t="n">
        <f aca="false">E198+C199</f>
        <v>0</v>
      </c>
      <c r="F199" s="0" t="n">
        <f aca="false">IF(AND('Deferred edits'!C197&lt;&gt;"",OR('Deferred edits'!C197='Policy card'!$C$3,'Deferred edits'!B197='Policy card'!$C$3)),1,0)</f>
        <v>0</v>
      </c>
      <c r="G199" s="0" t="str">
        <f aca="false">IF(F199=1,H199,"")</f>
        <v/>
      </c>
      <c r="H199" s="0" t="n">
        <f aca="false">H198+F199</f>
        <v>1</v>
      </c>
      <c r="I199" s="0" t="n">
        <f aca="false">IF('Deferred edits'!G197="Waiting",1,0)</f>
        <v>0</v>
      </c>
      <c r="J199" s="0" t="str">
        <f aca="false">IF(I199=1,K199,"")</f>
        <v/>
      </c>
      <c r="K199" s="0" t="n">
        <f aca="false">K198+I199</f>
        <v>5</v>
      </c>
      <c r="L199" s="0" t="n">
        <f aca="false">IF(AND(Versions!B197&lt;&gt;"",Versions!B197='Policy card'!$C$3),1,0)</f>
        <v>0</v>
      </c>
      <c r="M199" s="0" t="str">
        <f aca="false">IF(L199=1,N199,"")</f>
        <v/>
      </c>
      <c r="N199" s="0" t="n">
        <f aca="false">N198+L199</f>
        <v>2</v>
      </c>
      <c r="P199" s="0" t="n">
        <f aca="false">IF(AND(Comments!B197='Policy card'!$C$3,Comments!N197="Closed"),1,0)</f>
        <v>0</v>
      </c>
      <c r="Q199" s="0" t="n">
        <f aca="false">Q198+P199</f>
        <v>7</v>
      </c>
    </row>
    <row r="200" customFormat="false" ht="15" hidden="false" customHeight="false" outlineLevel="0" collapsed="false">
      <c r="A200" s="0" t="str">
        <f aca="false">IF(OR(Drafts!A198="",Drafts!E198="Withdrawn",AND(Drafts!E198="Adopted",OR(Drafts!N198="Complete",Drafts!N198="Not needed"))),"",IFERROR(MATCH(Drafts!E198,StageList,0),99)*1000+198)</f>
        <v/>
      </c>
      <c r="C200" s="0" t="n">
        <f aca="false">IF(AND(Comments!B198='Policy card'!$C$3,Comments!N198="Open"),1,0)</f>
        <v>0</v>
      </c>
      <c r="D200" s="0" t="str">
        <f aca="false">IF(C200=1,E200,IF(P200=1,$E$2003+Q200,""))</f>
        <v/>
      </c>
      <c r="E200" s="0" t="n">
        <f aca="false">E199+C200</f>
        <v>0</v>
      </c>
      <c r="F200" s="0" t="n">
        <f aca="false">IF(AND('Deferred edits'!C198&lt;&gt;"",OR('Deferred edits'!C198='Policy card'!$C$3,'Deferred edits'!B198='Policy card'!$C$3)),1,0)</f>
        <v>0</v>
      </c>
      <c r="G200" s="0" t="str">
        <f aca="false">IF(F200=1,H200,"")</f>
        <v/>
      </c>
      <c r="H200" s="0" t="n">
        <f aca="false">H199+F200</f>
        <v>1</v>
      </c>
      <c r="I200" s="0" t="n">
        <f aca="false">IF('Deferred edits'!G198="Waiting",1,0)</f>
        <v>0</v>
      </c>
      <c r="J200" s="0" t="str">
        <f aca="false">IF(I200=1,K200,"")</f>
        <v/>
      </c>
      <c r="K200" s="0" t="n">
        <f aca="false">K199+I200</f>
        <v>5</v>
      </c>
      <c r="L200" s="0" t="n">
        <f aca="false">IF(AND(Versions!B198&lt;&gt;"",Versions!B198='Policy card'!$C$3),1,0)</f>
        <v>0</v>
      </c>
      <c r="M200" s="0" t="str">
        <f aca="false">IF(L200=1,N200,"")</f>
        <v/>
      </c>
      <c r="N200" s="0" t="n">
        <f aca="false">N199+L200</f>
        <v>2</v>
      </c>
      <c r="P200" s="0" t="n">
        <f aca="false">IF(AND(Comments!B198='Policy card'!$C$3,Comments!N198="Closed"),1,0)</f>
        <v>0</v>
      </c>
      <c r="Q200" s="0" t="n">
        <f aca="false">Q199+P200</f>
        <v>7</v>
      </c>
    </row>
    <row r="201" customFormat="false" ht="15" hidden="false" customHeight="false" outlineLevel="0" collapsed="false">
      <c r="A201" s="0" t="str">
        <f aca="false">IF(OR(Drafts!A199="",Drafts!E199="Withdrawn",AND(Drafts!E199="Adopted",OR(Drafts!N199="Complete",Drafts!N199="Not needed"))),"",IFERROR(MATCH(Drafts!E199,StageList,0),99)*1000+199)</f>
        <v/>
      </c>
      <c r="C201" s="0" t="n">
        <f aca="false">IF(AND(Comments!B199='Policy card'!$C$3,Comments!N199="Open"),1,0)</f>
        <v>0</v>
      </c>
      <c r="D201" s="0" t="str">
        <f aca="false">IF(C201=1,E201,IF(P201=1,$E$2003+Q201,""))</f>
        <v/>
      </c>
      <c r="E201" s="0" t="n">
        <f aca="false">E200+C201</f>
        <v>0</v>
      </c>
      <c r="F201" s="0" t="n">
        <f aca="false">IF(AND('Deferred edits'!C199&lt;&gt;"",OR('Deferred edits'!C199='Policy card'!$C$3,'Deferred edits'!B199='Policy card'!$C$3)),1,0)</f>
        <v>0</v>
      </c>
      <c r="G201" s="0" t="str">
        <f aca="false">IF(F201=1,H201,"")</f>
        <v/>
      </c>
      <c r="H201" s="0" t="n">
        <f aca="false">H200+F201</f>
        <v>1</v>
      </c>
      <c r="I201" s="0" t="n">
        <f aca="false">IF('Deferred edits'!G199="Waiting",1,0)</f>
        <v>0</v>
      </c>
      <c r="J201" s="0" t="str">
        <f aca="false">IF(I201=1,K201,"")</f>
        <v/>
      </c>
      <c r="K201" s="0" t="n">
        <f aca="false">K200+I201</f>
        <v>5</v>
      </c>
      <c r="L201" s="0" t="n">
        <f aca="false">IF(AND(Versions!B199&lt;&gt;"",Versions!B199='Policy card'!$C$3),1,0)</f>
        <v>0</v>
      </c>
      <c r="M201" s="0" t="str">
        <f aca="false">IF(L201=1,N201,"")</f>
        <v/>
      </c>
      <c r="N201" s="0" t="n">
        <f aca="false">N200+L201</f>
        <v>2</v>
      </c>
      <c r="P201" s="0" t="n">
        <f aca="false">IF(AND(Comments!B199='Policy card'!$C$3,Comments!N199="Closed"),1,0)</f>
        <v>0</v>
      </c>
      <c r="Q201" s="0" t="n">
        <f aca="false">Q200+P201</f>
        <v>7</v>
      </c>
    </row>
    <row r="202" customFormat="false" ht="15" hidden="false" customHeight="false" outlineLevel="0" collapsed="false">
      <c r="A202" s="0" t="str">
        <f aca="false">IF(OR(Drafts!A200="",Drafts!E200="Withdrawn",AND(Drafts!E200="Adopted",OR(Drafts!N200="Complete",Drafts!N200="Not needed"))),"",IFERROR(MATCH(Drafts!E200,StageList,0),99)*1000+200)</f>
        <v/>
      </c>
      <c r="C202" s="0" t="n">
        <f aca="false">IF(AND(Comments!B200='Policy card'!$C$3,Comments!N200="Open"),1,0)</f>
        <v>0</v>
      </c>
      <c r="D202" s="0" t="str">
        <f aca="false">IF(C202=1,E202,IF(P202=1,$E$2003+Q202,""))</f>
        <v/>
      </c>
      <c r="E202" s="0" t="n">
        <f aca="false">E201+C202</f>
        <v>0</v>
      </c>
      <c r="F202" s="0" t="n">
        <f aca="false">IF(AND('Deferred edits'!C200&lt;&gt;"",OR('Deferred edits'!C200='Policy card'!$C$3,'Deferred edits'!B200='Policy card'!$C$3)),1,0)</f>
        <v>0</v>
      </c>
      <c r="G202" s="0" t="str">
        <f aca="false">IF(F202=1,H202,"")</f>
        <v/>
      </c>
      <c r="H202" s="0" t="n">
        <f aca="false">H201+F202</f>
        <v>1</v>
      </c>
      <c r="I202" s="0" t="n">
        <f aca="false">IF('Deferred edits'!G200="Waiting",1,0)</f>
        <v>0</v>
      </c>
      <c r="J202" s="0" t="str">
        <f aca="false">IF(I202=1,K202,"")</f>
        <v/>
      </c>
      <c r="K202" s="0" t="n">
        <f aca="false">K201+I202</f>
        <v>5</v>
      </c>
      <c r="L202" s="0" t="n">
        <f aca="false">IF(AND(Versions!B200&lt;&gt;"",Versions!B200='Policy card'!$C$3),1,0)</f>
        <v>0</v>
      </c>
      <c r="M202" s="0" t="str">
        <f aca="false">IF(L202=1,N202,"")</f>
        <v/>
      </c>
      <c r="N202" s="0" t="n">
        <f aca="false">N201+L202</f>
        <v>2</v>
      </c>
      <c r="P202" s="0" t="n">
        <f aca="false">IF(AND(Comments!B200='Policy card'!$C$3,Comments!N200="Closed"),1,0)</f>
        <v>0</v>
      </c>
      <c r="Q202" s="0" t="n">
        <f aca="false">Q201+P202</f>
        <v>7</v>
      </c>
    </row>
    <row r="203" customFormat="false" ht="15" hidden="false" customHeight="false" outlineLevel="0" collapsed="false">
      <c r="A203" s="0" t="str">
        <f aca="false">IF(OR(Drafts!A201="",Drafts!E201="Withdrawn",AND(Drafts!E201="Adopted",OR(Drafts!N201="Complete",Drafts!N201="Not needed"))),"",IFERROR(MATCH(Drafts!E201,StageList,0),99)*1000+201)</f>
        <v/>
      </c>
      <c r="C203" s="0" t="n">
        <f aca="false">IF(AND(Comments!B201='Policy card'!$C$3,Comments!N201="Open"),1,0)</f>
        <v>0</v>
      </c>
      <c r="D203" s="0" t="str">
        <f aca="false">IF(C203=1,E203,IF(P203=1,$E$2003+Q203,""))</f>
        <v/>
      </c>
      <c r="E203" s="0" t="n">
        <f aca="false">E202+C203</f>
        <v>0</v>
      </c>
      <c r="F203" s="0" t="n">
        <f aca="false">IF(AND('Deferred edits'!C201&lt;&gt;"",OR('Deferred edits'!C201='Policy card'!$C$3,'Deferred edits'!B201='Policy card'!$C$3)),1,0)</f>
        <v>0</v>
      </c>
      <c r="G203" s="0" t="str">
        <f aca="false">IF(F203=1,H203,"")</f>
        <v/>
      </c>
      <c r="H203" s="0" t="n">
        <f aca="false">H202+F203</f>
        <v>1</v>
      </c>
      <c r="I203" s="0" t="n">
        <f aca="false">IF('Deferred edits'!G201="Waiting",1,0)</f>
        <v>0</v>
      </c>
      <c r="J203" s="0" t="str">
        <f aca="false">IF(I203=1,K203,"")</f>
        <v/>
      </c>
      <c r="K203" s="0" t="n">
        <f aca="false">K202+I203</f>
        <v>5</v>
      </c>
      <c r="L203" s="0" t="n">
        <f aca="false">IF(AND(Versions!B201&lt;&gt;"",Versions!B201='Policy card'!$C$3),1,0)</f>
        <v>0</v>
      </c>
      <c r="M203" s="0" t="str">
        <f aca="false">IF(L203=1,N203,"")</f>
        <v/>
      </c>
      <c r="N203" s="0" t="n">
        <f aca="false">N202+L203</f>
        <v>2</v>
      </c>
      <c r="P203" s="0" t="n">
        <f aca="false">IF(AND(Comments!B201='Policy card'!$C$3,Comments!N201="Closed"),1,0)</f>
        <v>0</v>
      </c>
      <c r="Q203" s="0" t="n">
        <f aca="false">Q202+P203</f>
        <v>7</v>
      </c>
    </row>
    <row r="204" customFormat="false" ht="15" hidden="false" customHeight="false" outlineLevel="0" collapsed="false">
      <c r="A204" s="0" t="str">
        <f aca="false">IF(OR(Drafts!A202="",Drafts!E202="Withdrawn",AND(Drafts!E202="Adopted",OR(Drafts!N202="Complete",Drafts!N202="Not needed"))),"",IFERROR(MATCH(Drafts!E202,StageList,0),99)*1000+202)</f>
        <v/>
      </c>
      <c r="C204" s="0" t="n">
        <f aca="false">IF(AND(Comments!B202='Policy card'!$C$3,Comments!N202="Open"),1,0)</f>
        <v>0</v>
      </c>
      <c r="D204" s="0" t="str">
        <f aca="false">IF(C204=1,E204,IF(P204=1,$E$2003+Q204,""))</f>
        <v/>
      </c>
      <c r="E204" s="0" t="n">
        <f aca="false">E203+C204</f>
        <v>0</v>
      </c>
      <c r="L204" s="0" t="n">
        <f aca="false">IF(AND(Versions!B202&lt;&gt;"",Versions!B202='Policy card'!$C$3),1,0)</f>
        <v>0</v>
      </c>
      <c r="M204" s="0" t="str">
        <f aca="false">IF(L204=1,N204,"")</f>
        <v/>
      </c>
      <c r="N204" s="0" t="n">
        <f aca="false">N203+L204</f>
        <v>2</v>
      </c>
      <c r="P204" s="0" t="n">
        <f aca="false">IF(AND(Comments!B202='Policy card'!$C$3,Comments!N202="Closed"),1,0)</f>
        <v>0</v>
      </c>
      <c r="Q204" s="0" t="n">
        <f aca="false">Q203+P204</f>
        <v>7</v>
      </c>
    </row>
    <row r="205" customFormat="false" ht="15" hidden="false" customHeight="false" outlineLevel="0" collapsed="false">
      <c r="A205" s="0" t="str">
        <f aca="false">IF(OR(Drafts!A203="",Drafts!E203="Withdrawn",AND(Drafts!E203="Adopted",OR(Drafts!N203="Complete",Drafts!N203="Not needed"))),"",IFERROR(MATCH(Drafts!E203,StageList,0),99)*1000+203)</f>
        <v/>
      </c>
      <c r="C205" s="0" t="n">
        <f aca="false">IF(AND(Comments!B203='Policy card'!$C$3,Comments!N203="Open"),1,0)</f>
        <v>0</v>
      </c>
      <c r="D205" s="0" t="str">
        <f aca="false">IF(C205=1,E205,IF(P205=1,$E$2003+Q205,""))</f>
        <v/>
      </c>
      <c r="E205" s="0" t="n">
        <f aca="false">E204+C205</f>
        <v>0</v>
      </c>
      <c r="L205" s="0" t="n">
        <f aca="false">IF(AND(Versions!B203&lt;&gt;"",Versions!B203='Policy card'!$C$3),1,0)</f>
        <v>0</v>
      </c>
      <c r="M205" s="0" t="str">
        <f aca="false">IF(L205=1,N205,"")</f>
        <v/>
      </c>
      <c r="N205" s="0" t="n">
        <f aca="false">N204+L205</f>
        <v>2</v>
      </c>
      <c r="P205" s="0" t="n">
        <f aca="false">IF(AND(Comments!B203='Policy card'!$C$3,Comments!N203="Closed"),1,0)</f>
        <v>0</v>
      </c>
      <c r="Q205" s="0" t="n">
        <f aca="false">Q204+P205</f>
        <v>7</v>
      </c>
    </row>
    <row r="206" customFormat="false" ht="15" hidden="false" customHeight="false" outlineLevel="0" collapsed="false">
      <c r="A206" s="0" t="str">
        <f aca="false">IF(OR(Drafts!A204="",Drafts!E204="Withdrawn",AND(Drafts!E204="Adopted",OR(Drafts!N204="Complete",Drafts!N204="Not needed"))),"",IFERROR(MATCH(Drafts!E204,StageList,0),99)*1000+204)</f>
        <v/>
      </c>
      <c r="C206" s="0" t="n">
        <f aca="false">IF(AND(Comments!B204='Policy card'!$C$3,Comments!N204="Open"),1,0)</f>
        <v>0</v>
      </c>
      <c r="D206" s="0" t="str">
        <f aca="false">IF(C206=1,E206,IF(P206=1,$E$2003+Q206,""))</f>
        <v/>
      </c>
      <c r="E206" s="0" t="n">
        <f aca="false">E205+C206</f>
        <v>0</v>
      </c>
      <c r="L206" s="0" t="n">
        <f aca="false">IF(AND(Versions!B204&lt;&gt;"",Versions!B204='Policy card'!$C$3),1,0)</f>
        <v>0</v>
      </c>
      <c r="M206" s="0" t="str">
        <f aca="false">IF(L206=1,N206,"")</f>
        <v/>
      </c>
      <c r="N206" s="0" t="n">
        <f aca="false">N205+L206</f>
        <v>2</v>
      </c>
      <c r="P206" s="0" t="n">
        <f aca="false">IF(AND(Comments!B204='Policy card'!$C$3,Comments!N204="Closed"),1,0)</f>
        <v>0</v>
      </c>
      <c r="Q206" s="0" t="n">
        <f aca="false">Q205+P206</f>
        <v>7</v>
      </c>
    </row>
    <row r="207" customFormat="false" ht="15" hidden="false" customHeight="false" outlineLevel="0" collapsed="false">
      <c r="A207" s="0" t="str">
        <f aca="false">IF(OR(Drafts!A205="",Drafts!E205="Withdrawn",AND(Drafts!E205="Adopted",OR(Drafts!N205="Complete",Drafts!N205="Not needed"))),"",IFERROR(MATCH(Drafts!E205,StageList,0),99)*1000+205)</f>
        <v/>
      </c>
      <c r="C207" s="0" t="n">
        <f aca="false">IF(AND(Comments!B205='Policy card'!$C$3,Comments!N205="Open"),1,0)</f>
        <v>0</v>
      </c>
      <c r="D207" s="0" t="str">
        <f aca="false">IF(C207=1,E207,IF(P207=1,$E$2003+Q207,""))</f>
        <v/>
      </c>
      <c r="E207" s="0" t="n">
        <f aca="false">E206+C207</f>
        <v>0</v>
      </c>
      <c r="L207" s="0" t="n">
        <f aca="false">IF(AND(Versions!B205&lt;&gt;"",Versions!B205='Policy card'!$C$3),1,0)</f>
        <v>0</v>
      </c>
      <c r="M207" s="0" t="str">
        <f aca="false">IF(L207=1,N207,"")</f>
        <v/>
      </c>
      <c r="N207" s="0" t="n">
        <f aca="false">N206+L207</f>
        <v>2</v>
      </c>
      <c r="P207" s="0" t="n">
        <f aca="false">IF(AND(Comments!B205='Policy card'!$C$3,Comments!N205="Closed"),1,0)</f>
        <v>0</v>
      </c>
      <c r="Q207" s="0" t="n">
        <f aca="false">Q206+P207</f>
        <v>7</v>
      </c>
    </row>
    <row r="208" customFormat="false" ht="15" hidden="false" customHeight="false" outlineLevel="0" collapsed="false">
      <c r="A208" s="0" t="str">
        <f aca="false">IF(OR(Drafts!A206="",Drafts!E206="Withdrawn",AND(Drafts!E206="Adopted",OR(Drafts!N206="Complete",Drafts!N206="Not needed"))),"",IFERROR(MATCH(Drafts!E206,StageList,0),99)*1000+206)</f>
        <v/>
      </c>
      <c r="C208" s="0" t="n">
        <f aca="false">IF(AND(Comments!B206='Policy card'!$C$3,Comments!N206="Open"),1,0)</f>
        <v>0</v>
      </c>
      <c r="D208" s="0" t="str">
        <f aca="false">IF(C208=1,E208,IF(P208=1,$E$2003+Q208,""))</f>
        <v/>
      </c>
      <c r="E208" s="0" t="n">
        <f aca="false">E207+C208</f>
        <v>0</v>
      </c>
      <c r="L208" s="0" t="n">
        <f aca="false">IF(AND(Versions!B206&lt;&gt;"",Versions!B206='Policy card'!$C$3),1,0)</f>
        <v>0</v>
      </c>
      <c r="M208" s="0" t="str">
        <f aca="false">IF(L208=1,N208,"")</f>
        <v/>
      </c>
      <c r="N208" s="0" t="n">
        <f aca="false">N207+L208</f>
        <v>2</v>
      </c>
      <c r="P208" s="0" t="n">
        <f aca="false">IF(AND(Comments!B206='Policy card'!$C$3,Comments!N206="Closed"),1,0)</f>
        <v>0</v>
      </c>
      <c r="Q208" s="0" t="n">
        <f aca="false">Q207+P208</f>
        <v>7</v>
      </c>
    </row>
    <row r="209" customFormat="false" ht="15" hidden="false" customHeight="false" outlineLevel="0" collapsed="false">
      <c r="A209" s="0" t="str">
        <f aca="false">IF(OR(Drafts!A207="",Drafts!E207="Withdrawn",AND(Drafts!E207="Adopted",OR(Drafts!N207="Complete",Drafts!N207="Not needed"))),"",IFERROR(MATCH(Drafts!E207,StageList,0),99)*1000+207)</f>
        <v/>
      </c>
      <c r="C209" s="0" t="n">
        <f aca="false">IF(AND(Comments!B207='Policy card'!$C$3,Comments!N207="Open"),1,0)</f>
        <v>0</v>
      </c>
      <c r="D209" s="0" t="str">
        <f aca="false">IF(C209=1,E209,IF(P209=1,$E$2003+Q209,""))</f>
        <v/>
      </c>
      <c r="E209" s="0" t="n">
        <f aca="false">E208+C209</f>
        <v>0</v>
      </c>
      <c r="L209" s="0" t="n">
        <f aca="false">IF(AND(Versions!B207&lt;&gt;"",Versions!B207='Policy card'!$C$3),1,0)</f>
        <v>0</v>
      </c>
      <c r="M209" s="0" t="str">
        <f aca="false">IF(L209=1,N209,"")</f>
        <v/>
      </c>
      <c r="N209" s="0" t="n">
        <f aca="false">N208+L209</f>
        <v>2</v>
      </c>
      <c r="P209" s="0" t="n">
        <f aca="false">IF(AND(Comments!B207='Policy card'!$C$3,Comments!N207="Closed"),1,0)</f>
        <v>0</v>
      </c>
      <c r="Q209" s="0" t="n">
        <f aca="false">Q208+P209</f>
        <v>7</v>
      </c>
    </row>
    <row r="210" customFormat="false" ht="15" hidden="false" customHeight="false" outlineLevel="0" collapsed="false">
      <c r="A210" s="0" t="str">
        <f aca="false">IF(OR(Drafts!A208="",Drafts!E208="Withdrawn",AND(Drafts!E208="Adopted",OR(Drafts!N208="Complete",Drafts!N208="Not needed"))),"",IFERROR(MATCH(Drafts!E208,StageList,0),99)*1000+208)</f>
        <v/>
      </c>
      <c r="C210" s="0" t="n">
        <f aca="false">IF(AND(Comments!B208='Policy card'!$C$3,Comments!N208="Open"),1,0)</f>
        <v>0</v>
      </c>
      <c r="D210" s="0" t="str">
        <f aca="false">IF(C210=1,E210,IF(P210=1,$E$2003+Q210,""))</f>
        <v/>
      </c>
      <c r="E210" s="0" t="n">
        <f aca="false">E209+C210</f>
        <v>0</v>
      </c>
      <c r="L210" s="0" t="n">
        <f aca="false">IF(AND(Versions!B208&lt;&gt;"",Versions!B208='Policy card'!$C$3),1,0)</f>
        <v>0</v>
      </c>
      <c r="M210" s="0" t="str">
        <f aca="false">IF(L210=1,N210,"")</f>
        <v/>
      </c>
      <c r="N210" s="0" t="n">
        <f aca="false">N209+L210</f>
        <v>2</v>
      </c>
      <c r="P210" s="0" t="n">
        <f aca="false">IF(AND(Comments!B208='Policy card'!$C$3,Comments!N208="Closed"),1,0)</f>
        <v>0</v>
      </c>
      <c r="Q210" s="0" t="n">
        <f aca="false">Q209+P210</f>
        <v>7</v>
      </c>
    </row>
    <row r="211" customFormat="false" ht="15" hidden="false" customHeight="false" outlineLevel="0" collapsed="false">
      <c r="A211" s="0" t="str">
        <f aca="false">IF(OR(Drafts!A209="",Drafts!E209="Withdrawn",AND(Drafts!E209="Adopted",OR(Drafts!N209="Complete",Drafts!N209="Not needed"))),"",IFERROR(MATCH(Drafts!E209,StageList,0),99)*1000+209)</f>
        <v/>
      </c>
      <c r="C211" s="0" t="n">
        <f aca="false">IF(AND(Comments!B209='Policy card'!$C$3,Comments!N209="Open"),1,0)</f>
        <v>0</v>
      </c>
      <c r="D211" s="0" t="str">
        <f aca="false">IF(C211=1,E211,IF(P211=1,$E$2003+Q211,""))</f>
        <v/>
      </c>
      <c r="E211" s="0" t="n">
        <f aca="false">E210+C211</f>
        <v>0</v>
      </c>
      <c r="L211" s="0" t="n">
        <f aca="false">IF(AND(Versions!B209&lt;&gt;"",Versions!B209='Policy card'!$C$3),1,0)</f>
        <v>0</v>
      </c>
      <c r="M211" s="0" t="str">
        <f aca="false">IF(L211=1,N211,"")</f>
        <v/>
      </c>
      <c r="N211" s="0" t="n">
        <f aca="false">N210+L211</f>
        <v>2</v>
      </c>
      <c r="P211" s="0" t="n">
        <f aca="false">IF(AND(Comments!B209='Policy card'!$C$3,Comments!N209="Closed"),1,0)</f>
        <v>0</v>
      </c>
      <c r="Q211" s="0" t="n">
        <f aca="false">Q210+P211</f>
        <v>7</v>
      </c>
    </row>
    <row r="212" customFormat="false" ht="15" hidden="false" customHeight="false" outlineLevel="0" collapsed="false">
      <c r="A212" s="0" t="str">
        <f aca="false">IF(OR(Drafts!A210="",Drafts!E210="Withdrawn",AND(Drafts!E210="Adopted",OR(Drafts!N210="Complete",Drafts!N210="Not needed"))),"",IFERROR(MATCH(Drafts!E210,StageList,0),99)*1000+210)</f>
        <v/>
      </c>
      <c r="C212" s="0" t="n">
        <f aca="false">IF(AND(Comments!B210='Policy card'!$C$3,Comments!N210="Open"),1,0)</f>
        <v>0</v>
      </c>
      <c r="D212" s="0" t="str">
        <f aca="false">IF(C212=1,E212,IF(P212=1,$E$2003+Q212,""))</f>
        <v/>
      </c>
      <c r="E212" s="0" t="n">
        <f aca="false">E211+C212</f>
        <v>0</v>
      </c>
      <c r="L212" s="0" t="n">
        <f aca="false">IF(AND(Versions!B210&lt;&gt;"",Versions!B210='Policy card'!$C$3),1,0)</f>
        <v>0</v>
      </c>
      <c r="M212" s="0" t="str">
        <f aca="false">IF(L212=1,N212,"")</f>
        <v/>
      </c>
      <c r="N212" s="0" t="n">
        <f aca="false">N211+L212</f>
        <v>2</v>
      </c>
      <c r="P212" s="0" t="n">
        <f aca="false">IF(AND(Comments!B210='Policy card'!$C$3,Comments!N210="Closed"),1,0)</f>
        <v>0</v>
      </c>
      <c r="Q212" s="0" t="n">
        <f aca="false">Q211+P212</f>
        <v>7</v>
      </c>
    </row>
    <row r="213" customFormat="false" ht="15" hidden="false" customHeight="false" outlineLevel="0" collapsed="false">
      <c r="A213" s="0" t="str">
        <f aca="false">IF(OR(Drafts!A211="",Drafts!E211="Withdrawn",AND(Drafts!E211="Adopted",OR(Drafts!N211="Complete",Drafts!N211="Not needed"))),"",IFERROR(MATCH(Drafts!E211,StageList,0),99)*1000+211)</f>
        <v/>
      </c>
      <c r="C213" s="0" t="n">
        <f aca="false">IF(AND(Comments!B211='Policy card'!$C$3,Comments!N211="Open"),1,0)</f>
        <v>0</v>
      </c>
      <c r="D213" s="0" t="str">
        <f aca="false">IF(C213=1,E213,IF(P213=1,$E$2003+Q213,""))</f>
        <v/>
      </c>
      <c r="E213" s="0" t="n">
        <f aca="false">E212+C213</f>
        <v>0</v>
      </c>
      <c r="L213" s="0" t="n">
        <f aca="false">IF(AND(Versions!B211&lt;&gt;"",Versions!B211='Policy card'!$C$3),1,0)</f>
        <v>0</v>
      </c>
      <c r="M213" s="0" t="str">
        <f aca="false">IF(L213=1,N213,"")</f>
        <v/>
      </c>
      <c r="N213" s="0" t="n">
        <f aca="false">N212+L213</f>
        <v>2</v>
      </c>
      <c r="P213" s="0" t="n">
        <f aca="false">IF(AND(Comments!B211='Policy card'!$C$3,Comments!N211="Closed"),1,0)</f>
        <v>0</v>
      </c>
      <c r="Q213" s="0" t="n">
        <f aca="false">Q212+P213</f>
        <v>7</v>
      </c>
    </row>
    <row r="214" customFormat="false" ht="15" hidden="false" customHeight="false" outlineLevel="0" collapsed="false">
      <c r="A214" s="0" t="str">
        <f aca="false">IF(OR(Drafts!A212="",Drafts!E212="Withdrawn",AND(Drafts!E212="Adopted",OR(Drafts!N212="Complete",Drafts!N212="Not needed"))),"",IFERROR(MATCH(Drafts!E212,StageList,0),99)*1000+212)</f>
        <v/>
      </c>
      <c r="C214" s="0" t="n">
        <f aca="false">IF(AND(Comments!B212='Policy card'!$C$3,Comments!N212="Open"),1,0)</f>
        <v>0</v>
      </c>
      <c r="D214" s="0" t="str">
        <f aca="false">IF(C214=1,E214,IF(P214=1,$E$2003+Q214,""))</f>
        <v/>
      </c>
      <c r="E214" s="0" t="n">
        <f aca="false">E213+C214</f>
        <v>0</v>
      </c>
      <c r="L214" s="0" t="n">
        <f aca="false">IF(AND(Versions!B212&lt;&gt;"",Versions!B212='Policy card'!$C$3),1,0)</f>
        <v>0</v>
      </c>
      <c r="M214" s="0" t="str">
        <f aca="false">IF(L214=1,N214,"")</f>
        <v/>
      </c>
      <c r="N214" s="0" t="n">
        <f aca="false">N213+L214</f>
        <v>2</v>
      </c>
      <c r="P214" s="0" t="n">
        <f aca="false">IF(AND(Comments!B212='Policy card'!$C$3,Comments!N212="Closed"),1,0)</f>
        <v>0</v>
      </c>
      <c r="Q214" s="0" t="n">
        <f aca="false">Q213+P214</f>
        <v>7</v>
      </c>
    </row>
    <row r="215" customFormat="false" ht="15" hidden="false" customHeight="false" outlineLevel="0" collapsed="false">
      <c r="A215" s="0" t="str">
        <f aca="false">IF(OR(Drafts!A213="",Drafts!E213="Withdrawn",AND(Drafts!E213="Adopted",OR(Drafts!N213="Complete",Drafts!N213="Not needed"))),"",IFERROR(MATCH(Drafts!E213,StageList,0),99)*1000+213)</f>
        <v/>
      </c>
      <c r="C215" s="0" t="n">
        <f aca="false">IF(AND(Comments!B213='Policy card'!$C$3,Comments!N213="Open"),1,0)</f>
        <v>0</v>
      </c>
      <c r="D215" s="0" t="str">
        <f aca="false">IF(C215=1,E215,IF(P215=1,$E$2003+Q215,""))</f>
        <v/>
      </c>
      <c r="E215" s="0" t="n">
        <f aca="false">E214+C215</f>
        <v>0</v>
      </c>
      <c r="L215" s="0" t="n">
        <f aca="false">IF(AND(Versions!B213&lt;&gt;"",Versions!B213='Policy card'!$C$3),1,0)</f>
        <v>0</v>
      </c>
      <c r="M215" s="0" t="str">
        <f aca="false">IF(L215=1,N215,"")</f>
        <v/>
      </c>
      <c r="N215" s="0" t="n">
        <f aca="false">N214+L215</f>
        <v>2</v>
      </c>
      <c r="P215" s="0" t="n">
        <f aca="false">IF(AND(Comments!B213='Policy card'!$C$3,Comments!N213="Closed"),1,0)</f>
        <v>0</v>
      </c>
      <c r="Q215" s="0" t="n">
        <f aca="false">Q214+P215</f>
        <v>7</v>
      </c>
    </row>
    <row r="216" customFormat="false" ht="15" hidden="false" customHeight="false" outlineLevel="0" collapsed="false">
      <c r="A216" s="0" t="str">
        <f aca="false">IF(OR(Drafts!A214="",Drafts!E214="Withdrawn",AND(Drafts!E214="Adopted",OR(Drafts!N214="Complete",Drafts!N214="Not needed"))),"",IFERROR(MATCH(Drafts!E214,StageList,0),99)*1000+214)</f>
        <v/>
      </c>
      <c r="C216" s="0" t="n">
        <f aca="false">IF(AND(Comments!B214='Policy card'!$C$3,Comments!N214="Open"),1,0)</f>
        <v>0</v>
      </c>
      <c r="D216" s="0" t="str">
        <f aca="false">IF(C216=1,E216,IF(P216=1,$E$2003+Q216,""))</f>
        <v/>
      </c>
      <c r="E216" s="0" t="n">
        <f aca="false">E215+C216</f>
        <v>0</v>
      </c>
      <c r="L216" s="0" t="n">
        <f aca="false">IF(AND(Versions!B214&lt;&gt;"",Versions!B214='Policy card'!$C$3),1,0)</f>
        <v>0</v>
      </c>
      <c r="M216" s="0" t="str">
        <f aca="false">IF(L216=1,N216,"")</f>
        <v/>
      </c>
      <c r="N216" s="0" t="n">
        <f aca="false">N215+L216</f>
        <v>2</v>
      </c>
      <c r="P216" s="0" t="n">
        <f aca="false">IF(AND(Comments!B214='Policy card'!$C$3,Comments!N214="Closed"),1,0)</f>
        <v>0</v>
      </c>
      <c r="Q216" s="0" t="n">
        <f aca="false">Q215+P216</f>
        <v>7</v>
      </c>
    </row>
    <row r="217" customFormat="false" ht="15" hidden="false" customHeight="false" outlineLevel="0" collapsed="false">
      <c r="A217" s="0" t="str">
        <f aca="false">IF(OR(Drafts!A215="",Drafts!E215="Withdrawn",AND(Drafts!E215="Adopted",OR(Drafts!N215="Complete",Drafts!N215="Not needed"))),"",IFERROR(MATCH(Drafts!E215,StageList,0),99)*1000+215)</f>
        <v/>
      </c>
      <c r="C217" s="0" t="n">
        <f aca="false">IF(AND(Comments!B215='Policy card'!$C$3,Comments!N215="Open"),1,0)</f>
        <v>0</v>
      </c>
      <c r="D217" s="0" t="str">
        <f aca="false">IF(C217=1,E217,IF(P217=1,$E$2003+Q217,""))</f>
        <v/>
      </c>
      <c r="E217" s="0" t="n">
        <f aca="false">E216+C217</f>
        <v>0</v>
      </c>
      <c r="L217" s="0" t="n">
        <f aca="false">IF(AND(Versions!B215&lt;&gt;"",Versions!B215='Policy card'!$C$3),1,0)</f>
        <v>0</v>
      </c>
      <c r="M217" s="0" t="str">
        <f aca="false">IF(L217=1,N217,"")</f>
        <v/>
      </c>
      <c r="N217" s="0" t="n">
        <f aca="false">N216+L217</f>
        <v>2</v>
      </c>
      <c r="P217" s="0" t="n">
        <f aca="false">IF(AND(Comments!B215='Policy card'!$C$3,Comments!N215="Closed"),1,0)</f>
        <v>0</v>
      </c>
      <c r="Q217" s="0" t="n">
        <f aca="false">Q216+P217</f>
        <v>7</v>
      </c>
    </row>
    <row r="218" customFormat="false" ht="15" hidden="false" customHeight="false" outlineLevel="0" collapsed="false">
      <c r="A218" s="0" t="str">
        <f aca="false">IF(OR(Drafts!A216="",Drafts!E216="Withdrawn",AND(Drafts!E216="Adopted",OR(Drafts!N216="Complete",Drafts!N216="Not needed"))),"",IFERROR(MATCH(Drafts!E216,StageList,0),99)*1000+216)</f>
        <v/>
      </c>
      <c r="C218" s="0" t="n">
        <f aca="false">IF(AND(Comments!B216='Policy card'!$C$3,Comments!N216="Open"),1,0)</f>
        <v>0</v>
      </c>
      <c r="D218" s="0" t="str">
        <f aca="false">IF(C218=1,E218,IF(P218=1,$E$2003+Q218,""))</f>
        <v/>
      </c>
      <c r="E218" s="0" t="n">
        <f aca="false">E217+C218</f>
        <v>0</v>
      </c>
      <c r="L218" s="0" t="n">
        <f aca="false">IF(AND(Versions!B216&lt;&gt;"",Versions!B216='Policy card'!$C$3),1,0)</f>
        <v>0</v>
      </c>
      <c r="M218" s="0" t="str">
        <f aca="false">IF(L218=1,N218,"")</f>
        <v/>
      </c>
      <c r="N218" s="0" t="n">
        <f aca="false">N217+L218</f>
        <v>2</v>
      </c>
      <c r="P218" s="0" t="n">
        <f aca="false">IF(AND(Comments!B216='Policy card'!$C$3,Comments!N216="Closed"),1,0)</f>
        <v>0</v>
      </c>
      <c r="Q218" s="0" t="n">
        <f aca="false">Q217+P218</f>
        <v>7</v>
      </c>
    </row>
    <row r="219" customFormat="false" ht="15" hidden="false" customHeight="false" outlineLevel="0" collapsed="false">
      <c r="A219" s="0" t="str">
        <f aca="false">IF(OR(Drafts!A217="",Drafts!E217="Withdrawn",AND(Drafts!E217="Adopted",OR(Drafts!N217="Complete",Drafts!N217="Not needed"))),"",IFERROR(MATCH(Drafts!E217,StageList,0),99)*1000+217)</f>
        <v/>
      </c>
      <c r="C219" s="0" t="n">
        <f aca="false">IF(AND(Comments!B217='Policy card'!$C$3,Comments!N217="Open"),1,0)</f>
        <v>0</v>
      </c>
      <c r="D219" s="0" t="str">
        <f aca="false">IF(C219=1,E219,IF(P219=1,$E$2003+Q219,""))</f>
        <v/>
      </c>
      <c r="E219" s="0" t="n">
        <f aca="false">E218+C219</f>
        <v>0</v>
      </c>
      <c r="L219" s="0" t="n">
        <f aca="false">IF(AND(Versions!B217&lt;&gt;"",Versions!B217='Policy card'!$C$3),1,0)</f>
        <v>0</v>
      </c>
      <c r="M219" s="0" t="str">
        <f aca="false">IF(L219=1,N219,"")</f>
        <v/>
      </c>
      <c r="N219" s="0" t="n">
        <f aca="false">N218+L219</f>
        <v>2</v>
      </c>
      <c r="P219" s="0" t="n">
        <f aca="false">IF(AND(Comments!B217='Policy card'!$C$3,Comments!N217="Closed"),1,0)</f>
        <v>0</v>
      </c>
      <c r="Q219" s="0" t="n">
        <f aca="false">Q218+P219</f>
        <v>7</v>
      </c>
    </row>
    <row r="220" customFormat="false" ht="15" hidden="false" customHeight="false" outlineLevel="0" collapsed="false">
      <c r="A220" s="0" t="str">
        <f aca="false">IF(OR(Drafts!A218="",Drafts!E218="Withdrawn",AND(Drafts!E218="Adopted",OR(Drafts!N218="Complete",Drafts!N218="Not needed"))),"",IFERROR(MATCH(Drafts!E218,StageList,0),99)*1000+218)</f>
        <v/>
      </c>
      <c r="C220" s="0" t="n">
        <f aca="false">IF(AND(Comments!B218='Policy card'!$C$3,Comments!N218="Open"),1,0)</f>
        <v>0</v>
      </c>
      <c r="D220" s="0" t="str">
        <f aca="false">IF(C220=1,E220,IF(P220=1,$E$2003+Q220,""))</f>
        <v/>
      </c>
      <c r="E220" s="0" t="n">
        <f aca="false">E219+C220</f>
        <v>0</v>
      </c>
      <c r="L220" s="0" t="n">
        <f aca="false">IF(AND(Versions!B218&lt;&gt;"",Versions!B218='Policy card'!$C$3),1,0)</f>
        <v>0</v>
      </c>
      <c r="M220" s="0" t="str">
        <f aca="false">IF(L220=1,N220,"")</f>
        <v/>
      </c>
      <c r="N220" s="0" t="n">
        <f aca="false">N219+L220</f>
        <v>2</v>
      </c>
      <c r="P220" s="0" t="n">
        <f aca="false">IF(AND(Comments!B218='Policy card'!$C$3,Comments!N218="Closed"),1,0)</f>
        <v>0</v>
      </c>
      <c r="Q220" s="0" t="n">
        <f aca="false">Q219+P220</f>
        <v>7</v>
      </c>
    </row>
    <row r="221" customFormat="false" ht="15" hidden="false" customHeight="false" outlineLevel="0" collapsed="false">
      <c r="A221" s="0" t="str">
        <f aca="false">IF(OR(Drafts!A219="",Drafts!E219="Withdrawn",AND(Drafts!E219="Adopted",OR(Drafts!N219="Complete",Drafts!N219="Not needed"))),"",IFERROR(MATCH(Drafts!E219,StageList,0),99)*1000+219)</f>
        <v/>
      </c>
      <c r="C221" s="0" t="n">
        <f aca="false">IF(AND(Comments!B219='Policy card'!$C$3,Comments!N219="Open"),1,0)</f>
        <v>0</v>
      </c>
      <c r="D221" s="0" t="str">
        <f aca="false">IF(C221=1,E221,IF(P221=1,$E$2003+Q221,""))</f>
        <v/>
      </c>
      <c r="E221" s="0" t="n">
        <f aca="false">E220+C221</f>
        <v>0</v>
      </c>
      <c r="L221" s="0" t="n">
        <f aca="false">IF(AND(Versions!B219&lt;&gt;"",Versions!B219='Policy card'!$C$3),1,0)</f>
        <v>0</v>
      </c>
      <c r="M221" s="0" t="str">
        <f aca="false">IF(L221=1,N221,"")</f>
        <v/>
      </c>
      <c r="N221" s="0" t="n">
        <f aca="false">N220+L221</f>
        <v>2</v>
      </c>
      <c r="P221" s="0" t="n">
        <f aca="false">IF(AND(Comments!B219='Policy card'!$C$3,Comments!N219="Closed"),1,0)</f>
        <v>0</v>
      </c>
      <c r="Q221" s="0" t="n">
        <f aca="false">Q220+P221</f>
        <v>7</v>
      </c>
    </row>
    <row r="222" customFormat="false" ht="15" hidden="false" customHeight="false" outlineLevel="0" collapsed="false">
      <c r="A222" s="0" t="str">
        <f aca="false">IF(OR(Drafts!A220="",Drafts!E220="Withdrawn",AND(Drafts!E220="Adopted",OR(Drafts!N220="Complete",Drafts!N220="Not needed"))),"",IFERROR(MATCH(Drafts!E220,StageList,0),99)*1000+220)</f>
        <v/>
      </c>
      <c r="C222" s="0" t="n">
        <f aca="false">IF(AND(Comments!B220='Policy card'!$C$3,Comments!N220="Open"),1,0)</f>
        <v>0</v>
      </c>
      <c r="D222" s="0" t="str">
        <f aca="false">IF(C222=1,E222,IF(P222=1,$E$2003+Q222,""))</f>
        <v/>
      </c>
      <c r="E222" s="0" t="n">
        <f aca="false">E221+C222</f>
        <v>0</v>
      </c>
      <c r="L222" s="0" t="n">
        <f aca="false">IF(AND(Versions!B220&lt;&gt;"",Versions!B220='Policy card'!$C$3),1,0)</f>
        <v>0</v>
      </c>
      <c r="M222" s="0" t="str">
        <f aca="false">IF(L222=1,N222,"")</f>
        <v/>
      </c>
      <c r="N222" s="0" t="n">
        <f aca="false">N221+L222</f>
        <v>2</v>
      </c>
      <c r="P222" s="0" t="n">
        <f aca="false">IF(AND(Comments!B220='Policy card'!$C$3,Comments!N220="Closed"),1,0)</f>
        <v>0</v>
      </c>
      <c r="Q222" s="0" t="n">
        <f aca="false">Q221+P222</f>
        <v>7</v>
      </c>
    </row>
    <row r="223" customFormat="false" ht="15" hidden="false" customHeight="false" outlineLevel="0" collapsed="false">
      <c r="A223" s="0" t="str">
        <f aca="false">IF(OR(Drafts!A221="",Drafts!E221="Withdrawn",AND(Drafts!E221="Adopted",OR(Drafts!N221="Complete",Drafts!N221="Not needed"))),"",IFERROR(MATCH(Drafts!E221,StageList,0),99)*1000+221)</f>
        <v/>
      </c>
      <c r="C223" s="0" t="n">
        <f aca="false">IF(AND(Comments!B221='Policy card'!$C$3,Comments!N221="Open"),1,0)</f>
        <v>0</v>
      </c>
      <c r="D223" s="0" t="str">
        <f aca="false">IF(C223=1,E223,IF(P223=1,$E$2003+Q223,""))</f>
        <v/>
      </c>
      <c r="E223" s="0" t="n">
        <f aca="false">E222+C223</f>
        <v>0</v>
      </c>
      <c r="L223" s="0" t="n">
        <f aca="false">IF(AND(Versions!B221&lt;&gt;"",Versions!B221='Policy card'!$C$3),1,0)</f>
        <v>0</v>
      </c>
      <c r="M223" s="0" t="str">
        <f aca="false">IF(L223=1,N223,"")</f>
        <v/>
      </c>
      <c r="N223" s="0" t="n">
        <f aca="false">N222+L223</f>
        <v>2</v>
      </c>
      <c r="P223" s="0" t="n">
        <f aca="false">IF(AND(Comments!B221='Policy card'!$C$3,Comments!N221="Closed"),1,0)</f>
        <v>0</v>
      </c>
      <c r="Q223" s="0" t="n">
        <f aca="false">Q222+P223</f>
        <v>7</v>
      </c>
    </row>
    <row r="224" customFormat="false" ht="15" hidden="false" customHeight="false" outlineLevel="0" collapsed="false">
      <c r="A224" s="0" t="str">
        <f aca="false">IF(OR(Drafts!A222="",Drafts!E222="Withdrawn",AND(Drafts!E222="Adopted",OR(Drafts!N222="Complete",Drafts!N222="Not needed"))),"",IFERROR(MATCH(Drafts!E222,StageList,0),99)*1000+222)</f>
        <v/>
      </c>
      <c r="C224" s="0" t="n">
        <f aca="false">IF(AND(Comments!B222='Policy card'!$C$3,Comments!N222="Open"),1,0)</f>
        <v>0</v>
      </c>
      <c r="D224" s="0" t="str">
        <f aca="false">IF(C224=1,E224,IF(P224=1,$E$2003+Q224,""))</f>
        <v/>
      </c>
      <c r="E224" s="0" t="n">
        <f aca="false">E223+C224</f>
        <v>0</v>
      </c>
      <c r="L224" s="0" t="n">
        <f aca="false">IF(AND(Versions!B222&lt;&gt;"",Versions!B222='Policy card'!$C$3),1,0)</f>
        <v>0</v>
      </c>
      <c r="M224" s="0" t="str">
        <f aca="false">IF(L224=1,N224,"")</f>
        <v/>
      </c>
      <c r="N224" s="0" t="n">
        <f aca="false">N223+L224</f>
        <v>2</v>
      </c>
      <c r="P224" s="0" t="n">
        <f aca="false">IF(AND(Comments!B222='Policy card'!$C$3,Comments!N222="Closed"),1,0)</f>
        <v>0</v>
      </c>
      <c r="Q224" s="0" t="n">
        <f aca="false">Q223+P224</f>
        <v>7</v>
      </c>
    </row>
    <row r="225" customFormat="false" ht="15" hidden="false" customHeight="false" outlineLevel="0" collapsed="false">
      <c r="A225" s="0" t="str">
        <f aca="false">IF(OR(Drafts!A223="",Drafts!E223="Withdrawn",AND(Drafts!E223="Adopted",OR(Drafts!N223="Complete",Drafts!N223="Not needed"))),"",IFERROR(MATCH(Drafts!E223,StageList,0),99)*1000+223)</f>
        <v/>
      </c>
      <c r="C225" s="0" t="n">
        <f aca="false">IF(AND(Comments!B223='Policy card'!$C$3,Comments!N223="Open"),1,0)</f>
        <v>0</v>
      </c>
      <c r="D225" s="0" t="str">
        <f aca="false">IF(C225=1,E225,IF(P225=1,$E$2003+Q225,""))</f>
        <v/>
      </c>
      <c r="E225" s="0" t="n">
        <f aca="false">E224+C225</f>
        <v>0</v>
      </c>
      <c r="L225" s="0" t="n">
        <f aca="false">IF(AND(Versions!B223&lt;&gt;"",Versions!B223='Policy card'!$C$3),1,0)</f>
        <v>0</v>
      </c>
      <c r="M225" s="0" t="str">
        <f aca="false">IF(L225=1,N225,"")</f>
        <v/>
      </c>
      <c r="N225" s="0" t="n">
        <f aca="false">N224+L225</f>
        <v>2</v>
      </c>
      <c r="P225" s="0" t="n">
        <f aca="false">IF(AND(Comments!B223='Policy card'!$C$3,Comments!N223="Closed"),1,0)</f>
        <v>0</v>
      </c>
      <c r="Q225" s="0" t="n">
        <f aca="false">Q224+P225</f>
        <v>7</v>
      </c>
    </row>
    <row r="226" customFormat="false" ht="15" hidden="false" customHeight="false" outlineLevel="0" collapsed="false">
      <c r="A226" s="0" t="str">
        <f aca="false">IF(OR(Drafts!A224="",Drafts!E224="Withdrawn",AND(Drafts!E224="Adopted",OR(Drafts!N224="Complete",Drafts!N224="Not needed"))),"",IFERROR(MATCH(Drafts!E224,StageList,0),99)*1000+224)</f>
        <v/>
      </c>
      <c r="C226" s="0" t="n">
        <f aca="false">IF(AND(Comments!B224='Policy card'!$C$3,Comments!N224="Open"),1,0)</f>
        <v>0</v>
      </c>
      <c r="D226" s="0" t="str">
        <f aca="false">IF(C226=1,E226,IF(P226=1,$E$2003+Q226,""))</f>
        <v/>
      </c>
      <c r="E226" s="0" t="n">
        <f aca="false">E225+C226</f>
        <v>0</v>
      </c>
      <c r="L226" s="0" t="n">
        <f aca="false">IF(AND(Versions!B224&lt;&gt;"",Versions!B224='Policy card'!$C$3),1,0)</f>
        <v>0</v>
      </c>
      <c r="M226" s="0" t="str">
        <f aca="false">IF(L226=1,N226,"")</f>
        <v/>
      </c>
      <c r="N226" s="0" t="n">
        <f aca="false">N225+L226</f>
        <v>2</v>
      </c>
      <c r="P226" s="0" t="n">
        <f aca="false">IF(AND(Comments!B224='Policy card'!$C$3,Comments!N224="Closed"),1,0)</f>
        <v>0</v>
      </c>
      <c r="Q226" s="0" t="n">
        <f aca="false">Q225+P226</f>
        <v>7</v>
      </c>
    </row>
    <row r="227" customFormat="false" ht="15" hidden="false" customHeight="false" outlineLevel="0" collapsed="false">
      <c r="A227" s="0" t="str">
        <f aca="false">IF(OR(Drafts!A225="",Drafts!E225="Withdrawn",AND(Drafts!E225="Adopted",OR(Drafts!N225="Complete",Drafts!N225="Not needed"))),"",IFERROR(MATCH(Drafts!E225,StageList,0),99)*1000+225)</f>
        <v/>
      </c>
      <c r="C227" s="0" t="n">
        <f aca="false">IF(AND(Comments!B225='Policy card'!$C$3,Comments!N225="Open"),1,0)</f>
        <v>0</v>
      </c>
      <c r="D227" s="0" t="str">
        <f aca="false">IF(C227=1,E227,IF(P227=1,$E$2003+Q227,""))</f>
        <v/>
      </c>
      <c r="E227" s="0" t="n">
        <f aca="false">E226+C227</f>
        <v>0</v>
      </c>
      <c r="L227" s="0" t="n">
        <f aca="false">IF(AND(Versions!B225&lt;&gt;"",Versions!B225='Policy card'!$C$3),1,0)</f>
        <v>0</v>
      </c>
      <c r="M227" s="0" t="str">
        <f aca="false">IF(L227=1,N227,"")</f>
        <v/>
      </c>
      <c r="N227" s="0" t="n">
        <f aca="false">N226+L227</f>
        <v>2</v>
      </c>
      <c r="P227" s="0" t="n">
        <f aca="false">IF(AND(Comments!B225='Policy card'!$C$3,Comments!N225="Closed"),1,0)</f>
        <v>0</v>
      </c>
      <c r="Q227" s="0" t="n">
        <f aca="false">Q226+P227</f>
        <v>7</v>
      </c>
    </row>
    <row r="228" customFormat="false" ht="15" hidden="false" customHeight="false" outlineLevel="0" collapsed="false">
      <c r="A228" s="0" t="str">
        <f aca="false">IF(OR(Drafts!A226="",Drafts!E226="Withdrawn",AND(Drafts!E226="Adopted",OR(Drafts!N226="Complete",Drafts!N226="Not needed"))),"",IFERROR(MATCH(Drafts!E226,StageList,0),99)*1000+226)</f>
        <v/>
      </c>
      <c r="C228" s="0" t="n">
        <f aca="false">IF(AND(Comments!B226='Policy card'!$C$3,Comments!N226="Open"),1,0)</f>
        <v>0</v>
      </c>
      <c r="D228" s="0" t="str">
        <f aca="false">IF(C228=1,E228,IF(P228=1,$E$2003+Q228,""))</f>
        <v/>
      </c>
      <c r="E228" s="0" t="n">
        <f aca="false">E227+C228</f>
        <v>0</v>
      </c>
      <c r="L228" s="0" t="n">
        <f aca="false">IF(AND(Versions!B226&lt;&gt;"",Versions!B226='Policy card'!$C$3),1,0)</f>
        <v>0</v>
      </c>
      <c r="M228" s="0" t="str">
        <f aca="false">IF(L228=1,N228,"")</f>
        <v/>
      </c>
      <c r="N228" s="0" t="n">
        <f aca="false">N227+L228</f>
        <v>2</v>
      </c>
      <c r="P228" s="0" t="n">
        <f aca="false">IF(AND(Comments!B226='Policy card'!$C$3,Comments!N226="Closed"),1,0)</f>
        <v>0</v>
      </c>
      <c r="Q228" s="0" t="n">
        <f aca="false">Q227+P228</f>
        <v>7</v>
      </c>
    </row>
    <row r="229" customFormat="false" ht="15" hidden="false" customHeight="false" outlineLevel="0" collapsed="false">
      <c r="A229" s="0" t="str">
        <f aca="false">IF(OR(Drafts!A227="",Drafts!E227="Withdrawn",AND(Drafts!E227="Adopted",OR(Drafts!N227="Complete",Drafts!N227="Not needed"))),"",IFERROR(MATCH(Drafts!E227,StageList,0),99)*1000+227)</f>
        <v/>
      </c>
      <c r="C229" s="0" t="n">
        <f aca="false">IF(AND(Comments!B227='Policy card'!$C$3,Comments!N227="Open"),1,0)</f>
        <v>0</v>
      </c>
      <c r="D229" s="0" t="str">
        <f aca="false">IF(C229=1,E229,IF(P229=1,$E$2003+Q229,""))</f>
        <v/>
      </c>
      <c r="E229" s="0" t="n">
        <f aca="false">E228+C229</f>
        <v>0</v>
      </c>
      <c r="L229" s="0" t="n">
        <f aca="false">IF(AND(Versions!B227&lt;&gt;"",Versions!B227='Policy card'!$C$3),1,0)</f>
        <v>0</v>
      </c>
      <c r="M229" s="0" t="str">
        <f aca="false">IF(L229=1,N229,"")</f>
        <v/>
      </c>
      <c r="N229" s="0" t="n">
        <f aca="false">N228+L229</f>
        <v>2</v>
      </c>
      <c r="P229" s="0" t="n">
        <f aca="false">IF(AND(Comments!B227='Policy card'!$C$3,Comments!N227="Closed"),1,0)</f>
        <v>0</v>
      </c>
      <c r="Q229" s="0" t="n">
        <f aca="false">Q228+P229</f>
        <v>7</v>
      </c>
    </row>
    <row r="230" customFormat="false" ht="15" hidden="false" customHeight="false" outlineLevel="0" collapsed="false">
      <c r="A230" s="0" t="str">
        <f aca="false">IF(OR(Drafts!A228="",Drafts!E228="Withdrawn",AND(Drafts!E228="Adopted",OR(Drafts!N228="Complete",Drafts!N228="Not needed"))),"",IFERROR(MATCH(Drafts!E228,StageList,0),99)*1000+228)</f>
        <v/>
      </c>
      <c r="C230" s="0" t="n">
        <f aca="false">IF(AND(Comments!B228='Policy card'!$C$3,Comments!N228="Open"),1,0)</f>
        <v>0</v>
      </c>
      <c r="D230" s="0" t="str">
        <f aca="false">IF(C230=1,E230,IF(P230=1,$E$2003+Q230,""))</f>
        <v/>
      </c>
      <c r="E230" s="0" t="n">
        <f aca="false">E229+C230</f>
        <v>0</v>
      </c>
      <c r="L230" s="0" t="n">
        <f aca="false">IF(AND(Versions!B228&lt;&gt;"",Versions!B228='Policy card'!$C$3),1,0)</f>
        <v>0</v>
      </c>
      <c r="M230" s="0" t="str">
        <f aca="false">IF(L230=1,N230,"")</f>
        <v/>
      </c>
      <c r="N230" s="0" t="n">
        <f aca="false">N229+L230</f>
        <v>2</v>
      </c>
      <c r="P230" s="0" t="n">
        <f aca="false">IF(AND(Comments!B228='Policy card'!$C$3,Comments!N228="Closed"),1,0)</f>
        <v>0</v>
      </c>
      <c r="Q230" s="0" t="n">
        <f aca="false">Q229+P230</f>
        <v>7</v>
      </c>
    </row>
    <row r="231" customFormat="false" ht="15" hidden="false" customHeight="false" outlineLevel="0" collapsed="false">
      <c r="A231" s="0" t="str">
        <f aca="false">IF(OR(Drafts!A229="",Drafts!E229="Withdrawn",AND(Drafts!E229="Adopted",OR(Drafts!N229="Complete",Drafts!N229="Not needed"))),"",IFERROR(MATCH(Drafts!E229,StageList,0),99)*1000+229)</f>
        <v/>
      </c>
      <c r="C231" s="0" t="n">
        <f aca="false">IF(AND(Comments!B229='Policy card'!$C$3,Comments!N229="Open"),1,0)</f>
        <v>0</v>
      </c>
      <c r="D231" s="0" t="str">
        <f aca="false">IF(C231=1,E231,IF(P231=1,$E$2003+Q231,""))</f>
        <v/>
      </c>
      <c r="E231" s="0" t="n">
        <f aca="false">E230+C231</f>
        <v>0</v>
      </c>
      <c r="L231" s="0" t="n">
        <f aca="false">IF(AND(Versions!B229&lt;&gt;"",Versions!B229='Policy card'!$C$3),1,0)</f>
        <v>0</v>
      </c>
      <c r="M231" s="0" t="str">
        <f aca="false">IF(L231=1,N231,"")</f>
        <v/>
      </c>
      <c r="N231" s="0" t="n">
        <f aca="false">N230+L231</f>
        <v>2</v>
      </c>
      <c r="P231" s="0" t="n">
        <f aca="false">IF(AND(Comments!B229='Policy card'!$C$3,Comments!N229="Closed"),1,0)</f>
        <v>0</v>
      </c>
      <c r="Q231" s="0" t="n">
        <f aca="false">Q230+P231</f>
        <v>7</v>
      </c>
    </row>
    <row r="232" customFormat="false" ht="15" hidden="false" customHeight="false" outlineLevel="0" collapsed="false">
      <c r="A232" s="0" t="str">
        <f aca="false">IF(OR(Drafts!A230="",Drafts!E230="Withdrawn",AND(Drafts!E230="Adopted",OR(Drafts!N230="Complete",Drafts!N230="Not needed"))),"",IFERROR(MATCH(Drafts!E230,StageList,0),99)*1000+230)</f>
        <v/>
      </c>
      <c r="C232" s="0" t="n">
        <f aca="false">IF(AND(Comments!B230='Policy card'!$C$3,Comments!N230="Open"),1,0)</f>
        <v>0</v>
      </c>
      <c r="D232" s="0" t="str">
        <f aca="false">IF(C232=1,E232,IF(P232=1,$E$2003+Q232,""))</f>
        <v/>
      </c>
      <c r="E232" s="0" t="n">
        <f aca="false">E231+C232</f>
        <v>0</v>
      </c>
      <c r="L232" s="0" t="n">
        <f aca="false">IF(AND(Versions!B230&lt;&gt;"",Versions!B230='Policy card'!$C$3),1,0)</f>
        <v>0</v>
      </c>
      <c r="M232" s="0" t="str">
        <f aca="false">IF(L232=1,N232,"")</f>
        <v/>
      </c>
      <c r="N232" s="0" t="n">
        <f aca="false">N231+L232</f>
        <v>2</v>
      </c>
      <c r="P232" s="0" t="n">
        <f aca="false">IF(AND(Comments!B230='Policy card'!$C$3,Comments!N230="Closed"),1,0)</f>
        <v>0</v>
      </c>
      <c r="Q232" s="0" t="n">
        <f aca="false">Q231+P232</f>
        <v>7</v>
      </c>
    </row>
    <row r="233" customFormat="false" ht="15" hidden="false" customHeight="false" outlineLevel="0" collapsed="false">
      <c r="A233" s="0" t="str">
        <f aca="false">IF(OR(Drafts!A231="",Drafts!E231="Withdrawn",AND(Drafts!E231="Adopted",OR(Drafts!N231="Complete",Drafts!N231="Not needed"))),"",IFERROR(MATCH(Drafts!E231,StageList,0),99)*1000+231)</f>
        <v/>
      </c>
      <c r="C233" s="0" t="n">
        <f aca="false">IF(AND(Comments!B231='Policy card'!$C$3,Comments!N231="Open"),1,0)</f>
        <v>0</v>
      </c>
      <c r="D233" s="0" t="str">
        <f aca="false">IF(C233=1,E233,IF(P233=1,$E$2003+Q233,""))</f>
        <v/>
      </c>
      <c r="E233" s="0" t="n">
        <f aca="false">E232+C233</f>
        <v>0</v>
      </c>
      <c r="L233" s="0" t="n">
        <f aca="false">IF(AND(Versions!B231&lt;&gt;"",Versions!B231='Policy card'!$C$3),1,0)</f>
        <v>0</v>
      </c>
      <c r="M233" s="0" t="str">
        <f aca="false">IF(L233=1,N233,"")</f>
        <v/>
      </c>
      <c r="N233" s="0" t="n">
        <f aca="false">N232+L233</f>
        <v>2</v>
      </c>
      <c r="P233" s="0" t="n">
        <f aca="false">IF(AND(Comments!B231='Policy card'!$C$3,Comments!N231="Closed"),1,0)</f>
        <v>0</v>
      </c>
      <c r="Q233" s="0" t="n">
        <f aca="false">Q232+P233</f>
        <v>7</v>
      </c>
    </row>
    <row r="234" customFormat="false" ht="15" hidden="false" customHeight="false" outlineLevel="0" collapsed="false">
      <c r="A234" s="0" t="str">
        <f aca="false">IF(OR(Drafts!A232="",Drafts!E232="Withdrawn",AND(Drafts!E232="Adopted",OR(Drafts!N232="Complete",Drafts!N232="Not needed"))),"",IFERROR(MATCH(Drafts!E232,StageList,0),99)*1000+232)</f>
        <v/>
      </c>
      <c r="C234" s="0" t="n">
        <f aca="false">IF(AND(Comments!B232='Policy card'!$C$3,Comments!N232="Open"),1,0)</f>
        <v>0</v>
      </c>
      <c r="D234" s="0" t="str">
        <f aca="false">IF(C234=1,E234,IF(P234=1,$E$2003+Q234,""))</f>
        <v/>
      </c>
      <c r="E234" s="0" t="n">
        <f aca="false">E233+C234</f>
        <v>0</v>
      </c>
      <c r="L234" s="0" t="n">
        <f aca="false">IF(AND(Versions!B232&lt;&gt;"",Versions!B232='Policy card'!$C$3),1,0)</f>
        <v>0</v>
      </c>
      <c r="M234" s="0" t="str">
        <f aca="false">IF(L234=1,N234,"")</f>
        <v/>
      </c>
      <c r="N234" s="0" t="n">
        <f aca="false">N233+L234</f>
        <v>2</v>
      </c>
      <c r="P234" s="0" t="n">
        <f aca="false">IF(AND(Comments!B232='Policy card'!$C$3,Comments!N232="Closed"),1,0)</f>
        <v>0</v>
      </c>
      <c r="Q234" s="0" t="n">
        <f aca="false">Q233+P234</f>
        <v>7</v>
      </c>
    </row>
    <row r="235" customFormat="false" ht="15" hidden="false" customHeight="false" outlineLevel="0" collapsed="false">
      <c r="A235" s="0" t="str">
        <f aca="false">IF(OR(Drafts!A233="",Drafts!E233="Withdrawn",AND(Drafts!E233="Adopted",OR(Drafts!N233="Complete",Drafts!N233="Not needed"))),"",IFERROR(MATCH(Drafts!E233,StageList,0),99)*1000+233)</f>
        <v/>
      </c>
      <c r="C235" s="0" t="n">
        <f aca="false">IF(AND(Comments!B233='Policy card'!$C$3,Comments!N233="Open"),1,0)</f>
        <v>0</v>
      </c>
      <c r="D235" s="0" t="str">
        <f aca="false">IF(C235=1,E235,IF(P235=1,$E$2003+Q235,""))</f>
        <v/>
      </c>
      <c r="E235" s="0" t="n">
        <f aca="false">E234+C235</f>
        <v>0</v>
      </c>
      <c r="L235" s="0" t="n">
        <f aca="false">IF(AND(Versions!B233&lt;&gt;"",Versions!B233='Policy card'!$C$3),1,0)</f>
        <v>0</v>
      </c>
      <c r="M235" s="0" t="str">
        <f aca="false">IF(L235=1,N235,"")</f>
        <v/>
      </c>
      <c r="N235" s="0" t="n">
        <f aca="false">N234+L235</f>
        <v>2</v>
      </c>
      <c r="P235" s="0" t="n">
        <f aca="false">IF(AND(Comments!B233='Policy card'!$C$3,Comments!N233="Closed"),1,0)</f>
        <v>0</v>
      </c>
      <c r="Q235" s="0" t="n">
        <f aca="false">Q234+P235</f>
        <v>7</v>
      </c>
    </row>
    <row r="236" customFormat="false" ht="15" hidden="false" customHeight="false" outlineLevel="0" collapsed="false">
      <c r="A236" s="0" t="str">
        <f aca="false">IF(OR(Drafts!A234="",Drafts!E234="Withdrawn",AND(Drafts!E234="Adopted",OR(Drafts!N234="Complete",Drafts!N234="Not needed"))),"",IFERROR(MATCH(Drafts!E234,StageList,0),99)*1000+234)</f>
        <v/>
      </c>
      <c r="C236" s="0" t="n">
        <f aca="false">IF(AND(Comments!B234='Policy card'!$C$3,Comments!N234="Open"),1,0)</f>
        <v>0</v>
      </c>
      <c r="D236" s="0" t="str">
        <f aca="false">IF(C236=1,E236,IF(P236=1,$E$2003+Q236,""))</f>
        <v/>
      </c>
      <c r="E236" s="0" t="n">
        <f aca="false">E235+C236</f>
        <v>0</v>
      </c>
      <c r="L236" s="0" t="n">
        <f aca="false">IF(AND(Versions!B234&lt;&gt;"",Versions!B234='Policy card'!$C$3),1,0)</f>
        <v>0</v>
      </c>
      <c r="M236" s="0" t="str">
        <f aca="false">IF(L236=1,N236,"")</f>
        <v/>
      </c>
      <c r="N236" s="0" t="n">
        <f aca="false">N235+L236</f>
        <v>2</v>
      </c>
      <c r="P236" s="0" t="n">
        <f aca="false">IF(AND(Comments!B234='Policy card'!$C$3,Comments!N234="Closed"),1,0)</f>
        <v>0</v>
      </c>
      <c r="Q236" s="0" t="n">
        <f aca="false">Q235+P236</f>
        <v>7</v>
      </c>
    </row>
    <row r="237" customFormat="false" ht="15" hidden="false" customHeight="false" outlineLevel="0" collapsed="false">
      <c r="A237" s="0" t="str">
        <f aca="false">IF(OR(Drafts!A235="",Drafts!E235="Withdrawn",AND(Drafts!E235="Adopted",OR(Drafts!N235="Complete",Drafts!N235="Not needed"))),"",IFERROR(MATCH(Drafts!E235,StageList,0),99)*1000+235)</f>
        <v/>
      </c>
      <c r="C237" s="0" t="n">
        <f aca="false">IF(AND(Comments!B235='Policy card'!$C$3,Comments!N235="Open"),1,0)</f>
        <v>0</v>
      </c>
      <c r="D237" s="0" t="str">
        <f aca="false">IF(C237=1,E237,IF(P237=1,$E$2003+Q237,""))</f>
        <v/>
      </c>
      <c r="E237" s="0" t="n">
        <f aca="false">E236+C237</f>
        <v>0</v>
      </c>
      <c r="L237" s="0" t="n">
        <f aca="false">IF(AND(Versions!B235&lt;&gt;"",Versions!B235='Policy card'!$C$3),1,0)</f>
        <v>0</v>
      </c>
      <c r="M237" s="0" t="str">
        <f aca="false">IF(L237=1,N237,"")</f>
        <v/>
      </c>
      <c r="N237" s="0" t="n">
        <f aca="false">N236+L237</f>
        <v>2</v>
      </c>
      <c r="P237" s="0" t="n">
        <f aca="false">IF(AND(Comments!B235='Policy card'!$C$3,Comments!N235="Closed"),1,0)</f>
        <v>0</v>
      </c>
      <c r="Q237" s="0" t="n">
        <f aca="false">Q236+P237</f>
        <v>7</v>
      </c>
    </row>
    <row r="238" customFormat="false" ht="15" hidden="false" customHeight="false" outlineLevel="0" collapsed="false">
      <c r="A238" s="0" t="str">
        <f aca="false">IF(OR(Drafts!A236="",Drafts!E236="Withdrawn",AND(Drafts!E236="Adopted",OR(Drafts!N236="Complete",Drafts!N236="Not needed"))),"",IFERROR(MATCH(Drafts!E236,StageList,0),99)*1000+236)</f>
        <v/>
      </c>
      <c r="C238" s="0" t="n">
        <f aca="false">IF(AND(Comments!B236='Policy card'!$C$3,Comments!N236="Open"),1,0)</f>
        <v>0</v>
      </c>
      <c r="D238" s="0" t="str">
        <f aca="false">IF(C238=1,E238,IF(P238=1,$E$2003+Q238,""))</f>
        <v/>
      </c>
      <c r="E238" s="0" t="n">
        <f aca="false">E237+C238</f>
        <v>0</v>
      </c>
      <c r="L238" s="0" t="n">
        <f aca="false">IF(AND(Versions!B236&lt;&gt;"",Versions!B236='Policy card'!$C$3),1,0)</f>
        <v>0</v>
      </c>
      <c r="M238" s="0" t="str">
        <f aca="false">IF(L238=1,N238,"")</f>
        <v/>
      </c>
      <c r="N238" s="0" t="n">
        <f aca="false">N237+L238</f>
        <v>2</v>
      </c>
      <c r="P238" s="0" t="n">
        <f aca="false">IF(AND(Comments!B236='Policy card'!$C$3,Comments!N236="Closed"),1,0)</f>
        <v>0</v>
      </c>
      <c r="Q238" s="0" t="n">
        <f aca="false">Q237+P238</f>
        <v>7</v>
      </c>
    </row>
    <row r="239" customFormat="false" ht="15" hidden="false" customHeight="false" outlineLevel="0" collapsed="false">
      <c r="A239" s="0" t="str">
        <f aca="false">IF(OR(Drafts!A237="",Drafts!E237="Withdrawn",AND(Drafts!E237="Adopted",OR(Drafts!N237="Complete",Drafts!N237="Not needed"))),"",IFERROR(MATCH(Drafts!E237,StageList,0),99)*1000+237)</f>
        <v/>
      </c>
      <c r="C239" s="0" t="n">
        <f aca="false">IF(AND(Comments!B237='Policy card'!$C$3,Comments!N237="Open"),1,0)</f>
        <v>0</v>
      </c>
      <c r="D239" s="0" t="str">
        <f aca="false">IF(C239=1,E239,IF(P239=1,$E$2003+Q239,""))</f>
        <v/>
      </c>
      <c r="E239" s="0" t="n">
        <f aca="false">E238+C239</f>
        <v>0</v>
      </c>
      <c r="L239" s="0" t="n">
        <f aca="false">IF(AND(Versions!B237&lt;&gt;"",Versions!B237='Policy card'!$C$3),1,0)</f>
        <v>0</v>
      </c>
      <c r="M239" s="0" t="str">
        <f aca="false">IF(L239=1,N239,"")</f>
        <v/>
      </c>
      <c r="N239" s="0" t="n">
        <f aca="false">N238+L239</f>
        <v>2</v>
      </c>
      <c r="P239" s="0" t="n">
        <f aca="false">IF(AND(Comments!B237='Policy card'!$C$3,Comments!N237="Closed"),1,0)</f>
        <v>0</v>
      </c>
      <c r="Q239" s="0" t="n">
        <f aca="false">Q238+P239</f>
        <v>7</v>
      </c>
    </row>
    <row r="240" customFormat="false" ht="15" hidden="false" customHeight="false" outlineLevel="0" collapsed="false">
      <c r="A240" s="0" t="str">
        <f aca="false">IF(OR(Drafts!A238="",Drafts!E238="Withdrawn",AND(Drafts!E238="Adopted",OR(Drafts!N238="Complete",Drafts!N238="Not needed"))),"",IFERROR(MATCH(Drafts!E238,StageList,0),99)*1000+238)</f>
        <v/>
      </c>
      <c r="C240" s="0" t="n">
        <f aca="false">IF(AND(Comments!B238='Policy card'!$C$3,Comments!N238="Open"),1,0)</f>
        <v>0</v>
      </c>
      <c r="D240" s="0" t="str">
        <f aca="false">IF(C240=1,E240,IF(P240=1,$E$2003+Q240,""))</f>
        <v/>
      </c>
      <c r="E240" s="0" t="n">
        <f aca="false">E239+C240</f>
        <v>0</v>
      </c>
      <c r="L240" s="0" t="n">
        <f aca="false">IF(AND(Versions!B238&lt;&gt;"",Versions!B238='Policy card'!$C$3),1,0)</f>
        <v>0</v>
      </c>
      <c r="M240" s="0" t="str">
        <f aca="false">IF(L240=1,N240,"")</f>
        <v/>
      </c>
      <c r="N240" s="0" t="n">
        <f aca="false">N239+L240</f>
        <v>2</v>
      </c>
      <c r="P240" s="0" t="n">
        <f aca="false">IF(AND(Comments!B238='Policy card'!$C$3,Comments!N238="Closed"),1,0)</f>
        <v>0</v>
      </c>
      <c r="Q240" s="0" t="n">
        <f aca="false">Q239+P240</f>
        <v>7</v>
      </c>
    </row>
    <row r="241" customFormat="false" ht="15" hidden="false" customHeight="false" outlineLevel="0" collapsed="false">
      <c r="A241" s="0" t="str">
        <f aca="false">IF(OR(Drafts!A239="",Drafts!E239="Withdrawn",AND(Drafts!E239="Adopted",OR(Drafts!N239="Complete",Drafts!N239="Not needed"))),"",IFERROR(MATCH(Drafts!E239,StageList,0),99)*1000+239)</f>
        <v/>
      </c>
      <c r="C241" s="0" t="n">
        <f aca="false">IF(AND(Comments!B239='Policy card'!$C$3,Comments!N239="Open"),1,0)</f>
        <v>0</v>
      </c>
      <c r="D241" s="0" t="str">
        <f aca="false">IF(C241=1,E241,IF(P241=1,$E$2003+Q241,""))</f>
        <v/>
      </c>
      <c r="E241" s="0" t="n">
        <f aca="false">E240+C241</f>
        <v>0</v>
      </c>
      <c r="L241" s="0" t="n">
        <f aca="false">IF(AND(Versions!B239&lt;&gt;"",Versions!B239='Policy card'!$C$3),1,0)</f>
        <v>0</v>
      </c>
      <c r="M241" s="0" t="str">
        <f aca="false">IF(L241=1,N241,"")</f>
        <v/>
      </c>
      <c r="N241" s="0" t="n">
        <f aca="false">N240+L241</f>
        <v>2</v>
      </c>
      <c r="P241" s="0" t="n">
        <f aca="false">IF(AND(Comments!B239='Policy card'!$C$3,Comments!N239="Closed"),1,0)</f>
        <v>0</v>
      </c>
      <c r="Q241" s="0" t="n">
        <f aca="false">Q240+P241</f>
        <v>7</v>
      </c>
    </row>
    <row r="242" customFormat="false" ht="15" hidden="false" customHeight="false" outlineLevel="0" collapsed="false">
      <c r="A242" s="0" t="str">
        <f aca="false">IF(OR(Drafts!A240="",Drafts!E240="Withdrawn",AND(Drafts!E240="Adopted",OR(Drafts!N240="Complete",Drafts!N240="Not needed"))),"",IFERROR(MATCH(Drafts!E240,StageList,0),99)*1000+240)</f>
        <v/>
      </c>
      <c r="C242" s="0" t="n">
        <f aca="false">IF(AND(Comments!B240='Policy card'!$C$3,Comments!N240="Open"),1,0)</f>
        <v>0</v>
      </c>
      <c r="D242" s="0" t="str">
        <f aca="false">IF(C242=1,E242,IF(P242=1,$E$2003+Q242,""))</f>
        <v/>
      </c>
      <c r="E242" s="0" t="n">
        <f aca="false">E241+C242</f>
        <v>0</v>
      </c>
      <c r="L242" s="0" t="n">
        <f aca="false">IF(AND(Versions!B240&lt;&gt;"",Versions!B240='Policy card'!$C$3),1,0)</f>
        <v>0</v>
      </c>
      <c r="M242" s="0" t="str">
        <f aca="false">IF(L242=1,N242,"")</f>
        <v/>
      </c>
      <c r="N242" s="0" t="n">
        <f aca="false">N241+L242</f>
        <v>2</v>
      </c>
      <c r="P242" s="0" t="n">
        <f aca="false">IF(AND(Comments!B240='Policy card'!$C$3,Comments!N240="Closed"),1,0)</f>
        <v>0</v>
      </c>
      <c r="Q242" s="0" t="n">
        <f aca="false">Q241+P242</f>
        <v>7</v>
      </c>
    </row>
    <row r="243" customFormat="false" ht="15" hidden="false" customHeight="false" outlineLevel="0" collapsed="false">
      <c r="A243" s="0" t="str">
        <f aca="false">IF(OR(Drafts!A241="",Drafts!E241="Withdrawn",AND(Drafts!E241="Adopted",OR(Drafts!N241="Complete",Drafts!N241="Not needed"))),"",IFERROR(MATCH(Drafts!E241,StageList,0),99)*1000+241)</f>
        <v/>
      </c>
      <c r="C243" s="0" t="n">
        <f aca="false">IF(AND(Comments!B241='Policy card'!$C$3,Comments!N241="Open"),1,0)</f>
        <v>0</v>
      </c>
      <c r="D243" s="0" t="str">
        <f aca="false">IF(C243=1,E243,IF(P243=1,$E$2003+Q243,""))</f>
        <v/>
      </c>
      <c r="E243" s="0" t="n">
        <f aca="false">E242+C243</f>
        <v>0</v>
      </c>
      <c r="L243" s="0" t="n">
        <f aca="false">IF(AND(Versions!B241&lt;&gt;"",Versions!B241='Policy card'!$C$3),1,0)</f>
        <v>0</v>
      </c>
      <c r="M243" s="0" t="str">
        <f aca="false">IF(L243=1,N243,"")</f>
        <v/>
      </c>
      <c r="N243" s="0" t="n">
        <f aca="false">N242+L243</f>
        <v>2</v>
      </c>
      <c r="P243" s="0" t="n">
        <f aca="false">IF(AND(Comments!B241='Policy card'!$C$3,Comments!N241="Closed"),1,0)</f>
        <v>0</v>
      </c>
      <c r="Q243" s="0" t="n">
        <f aca="false">Q242+P243</f>
        <v>7</v>
      </c>
    </row>
    <row r="244" customFormat="false" ht="15" hidden="false" customHeight="false" outlineLevel="0" collapsed="false">
      <c r="A244" s="0" t="str">
        <f aca="false">IF(OR(Drafts!A242="",Drafts!E242="Withdrawn",AND(Drafts!E242="Adopted",OR(Drafts!N242="Complete",Drafts!N242="Not needed"))),"",IFERROR(MATCH(Drafts!E242,StageList,0),99)*1000+242)</f>
        <v/>
      </c>
      <c r="C244" s="0" t="n">
        <f aca="false">IF(AND(Comments!B242='Policy card'!$C$3,Comments!N242="Open"),1,0)</f>
        <v>0</v>
      </c>
      <c r="D244" s="0" t="str">
        <f aca="false">IF(C244=1,E244,IF(P244=1,$E$2003+Q244,""))</f>
        <v/>
      </c>
      <c r="E244" s="0" t="n">
        <f aca="false">E243+C244</f>
        <v>0</v>
      </c>
      <c r="L244" s="0" t="n">
        <f aca="false">IF(AND(Versions!B242&lt;&gt;"",Versions!B242='Policy card'!$C$3),1,0)</f>
        <v>0</v>
      </c>
      <c r="M244" s="0" t="str">
        <f aca="false">IF(L244=1,N244,"")</f>
        <v/>
      </c>
      <c r="N244" s="0" t="n">
        <f aca="false">N243+L244</f>
        <v>2</v>
      </c>
      <c r="P244" s="0" t="n">
        <f aca="false">IF(AND(Comments!B242='Policy card'!$C$3,Comments!N242="Closed"),1,0)</f>
        <v>0</v>
      </c>
      <c r="Q244" s="0" t="n">
        <f aca="false">Q243+P244</f>
        <v>7</v>
      </c>
    </row>
    <row r="245" customFormat="false" ht="15" hidden="false" customHeight="false" outlineLevel="0" collapsed="false">
      <c r="A245" s="0" t="str">
        <f aca="false">IF(OR(Drafts!A243="",Drafts!E243="Withdrawn",AND(Drafts!E243="Adopted",OR(Drafts!N243="Complete",Drafts!N243="Not needed"))),"",IFERROR(MATCH(Drafts!E243,StageList,0),99)*1000+243)</f>
        <v/>
      </c>
      <c r="C245" s="0" t="n">
        <f aca="false">IF(AND(Comments!B243='Policy card'!$C$3,Comments!N243="Open"),1,0)</f>
        <v>0</v>
      </c>
      <c r="D245" s="0" t="str">
        <f aca="false">IF(C245=1,E245,IF(P245=1,$E$2003+Q245,""))</f>
        <v/>
      </c>
      <c r="E245" s="0" t="n">
        <f aca="false">E244+C245</f>
        <v>0</v>
      </c>
      <c r="L245" s="0" t="n">
        <f aca="false">IF(AND(Versions!B243&lt;&gt;"",Versions!B243='Policy card'!$C$3),1,0)</f>
        <v>0</v>
      </c>
      <c r="M245" s="0" t="str">
        <f aca="false">IF(L245=1,N245,"")</f>
        <v/>
      </c>
      <c r="N245" s="0" t="n">
        <f aca="false">N244+L245</f>
        <v>2</v>
      </c>
      <c r="P245" s="0" t="n">
        <f aca="false">IF(AND(Comments!B243='Policy card'!$C$3,Comments!N243="Closed"),1,0)</f>
        <v>0</v>
      </c>
      <c r="Q245" s="0" t="n">
        <f aca="false">Q244+P245</f>
        <v>7</v>
      </c>
    </row>
    <row r="246" customFormat="false" ht="15" hidden="false" customHeight="false" outlineLevel="0" collapsed="false">
      <c r="A246" s="0" t="str">
        <f aca="false">IF(OR(Drafts!A244="",Drafts!E244="Withdrawn",AND(Drafts!E244="Adopted",OR(Drafts!N244="Complete",Drafts!N244="Not needed"))),"",IFERROR(MATCH(Drafts!E244,StageList,0),99)*1000+244)</f>
        <v/>
      </c>
      <c r="C246" s="0" t="n">
        <f aca="false">IF(AND(Comments!B244='Policy card'!$C$3,Comments!N244="Open"),1,0)</f>
        <v>0</v>
      </c>
      <c r="D246" s="0" t="str">
        <f aca="false">IF(C246=1,E246,IF(P246=1,$E$2003+Q246,""))</f>
        <v/>
      </c>
      <c r="E246" s="0" t="n">
        <f aca="false">E245+C246</f>
        <v>0</v>
      </c>
      <c r="L246" s="0" t="n">
        <f aca="false">IF(AND(Versions!B244&lt;&gt;"",Versions!B244='Policy card'!$C$3),1,0)</f>
        <v>0</v>
      </c>
      <c r="M246" s="0" t="str">
        <f aca="false">IF(L246=1,N246,"")</f>
        <v/>
      </c>
      <c r="N246" s="0" t="n">
        <f aca="false">N245+L246</f>
        <v>2</v>
      </c>
      <c r="P246" s="0" t="n">
        <f aca="false">IF(AND(Comments!B244='Policy card'!$C$3,Comments!N244="Closed"),1,0)</f>
        <v>0</v>
      </c>
      <c r="Q246" s="0" t="n">
        <f aca="false">Q245+P246</f>
        <v>7</v>
      </c>
    </row>
    <row r="247" customFormat="false" ht="15" hidden="false" customHeight="false" outlineLevel="0" collapsed="false">
      <c r="A247" s="0" t="str">
        <f aca="false">IF(OR(Drafts!A245="",Drafts!E245="Withdrawn",AND(Drafts!E245="Adopted",OR(Drafts!N245="Complete",Drafts!N245="Not needed"))),"",IFERROR(MATCH(Drafts!E245,StageList,0),99)*1000+245)</f>
        <v/>
      </c>
      <c r="C247" s="0" t="n">
        <f aca="false">IF(AND(Comments!B245='Policy card'!$C$3,Comments!N245="Open"),1,0)</f>
        <v>0</v>
      </c>
      <c r="D247" s="0" t="str">
        <f aca="false">IF(C247=1,E247,IF(P247=1,$E$2003+Q247,""))</f>
        <v/>
      </c>
      <c r="E247" s="0" t="n">
        <f aca="false">E246+C247</f>
        <v>0</v>
      </c>
      <c r="L247" s="0" t="n">
        <f aca="false">IF(AND(Versions!B245&lt;&gt;"",Versions!B245='Policy card'!$C$3),1,0)</f>
        <v>0</v>
      </c>
      <c r="M247" s="0" t="str">
        <f aca="false">IF(L247=1,N247,"")</f>
        <v/>
      </c>
      <c r="N247" s="0" t="n">
        <f aca="false">N246+L247</f>
        <v>2</v>
      </c>
      <c r="P247" s="0" t="n">
        <f aca="false">IF(AND(Comments!B245='Policy card'!$C$3,Comments!N245="Closed"),1,0)</f>
        <v>0</v>
      </c>
      <c r="Q247" s="0" t="n">
        <f aca="false">Q246+P247</f>
        <v>7</v>
      </c>
    </row>
    <row r="248" customFormat="false" ht="15" hidden="false" customHeight="false" outlineLevel="0" collapsed="false">
      <c r="A248" s="0" t="str">
        <f aca="false">IF(OR(Drafts!A246="",Drafts!E246="Withdrawn",AND(Drafts!E246="Adopted",OR(Drafts!N246="Complete",Drafts!N246="Not needed"))),"",IFERROR(MATCH(Drafts!E246,StageList,0),99)*1000+246)</f>
        <v/>
      </c>
      <c r="C248" s="0" t="n">
        <f aca="false">IF(AND(Comments!B246='Policy card'!$C$3,Comments!N246="Open"),1,0)</f>
        <v>0</v>
      </c>
      <c r="D248" s="0" t="str">
        <f aca="false">IF(C248=1,E248,IF(P248=1,$E$2003+Q248,""))</f>
        <v/>
      </c>
      <c r="E248" s="0" t="n">
        <f aca="false">E247+C248</f>
        <v>0</v>
      </c>
      <c r="L248" s="0" t="n">
        <f aca="false">IF(AND(Versions!B246&lt;&gt;"",Versions!B246='Policy card'!$C$3),1,0)</f>
        <v>0</v>
      </c>
      <c r="M248" s="0" t="str">
        <f aca="false">IF(L248=1,N248,"")</f>
        <v/>
      </c>
      <c r="N248" s="0" t="n">
        <f aca="false">N247+L248</f>
        <v>2</v>
      </c>
      <c r="P248" s="0" t="n">
        <f aca="false">IF(AND(Comments!B246='Policy card'!$C$3,Comments!N246="Closed"),1,0)</f>
        <v>0</v>
      </c>
      <c r="Q248" s="0" t="n">
        <f aca="false">Q247+P248</f>
        <v>7</v>
      </c>
    </row>
    <row r="249" customFormat="false" ht="15" hidden="false" customHeight="false" outlineLevel="0" collapsed="false">
      <c r="A249" s="0" t="str">
        <f aca="false">IF(OR(Drafts!A247="",Drafts!E247="Withdrawn",AND(Drafts!E247="Adopted",OR(Drafts!N247="Complete",Drafts!N247="Not needed"))),"",IFERROR(MATCH(Drafts!E247,StageList,0),99)*1000+247)</f>
        <v/>
      </c>
      <c r="C249" s="0" t="n">
        <f aca="false">IF(AND(Comments!B247='Policy card'!$C$3,Comments!N247="Open"),1,0)</f>
        <v>0</v>
      </c>
      <c r="D249" s="0" t="str">
        <f aca="false">IF(C249=1,E249,IF(P249=1,$E$2003+Q249,""))</f>
        <v/>
      </c>
      <c r="E249" s="0" t="n">
        <f aca="false">E248+C249</f>
        <v>0</v>
      </c>
      <c r="L249" s="0" t="n">
        <f aca="false">IF(AND(Versions!B247&lt;&gt;"",Versions!B247='Policy card'!$C$3),1,0)</f>
        <v>0</v>
      </c>
      <c r="M249" s="0" t="str">
        <f aca="false">IF(L249=1,N249,"")</f>
        <v/>
      </c>
      <c r="N249" s="0" t="n">
        <f aca="false">N248+L249</f>
        <v>2</v>
      </c>
      <c r="P249" s="0" t="n">
        <f aca="false">IF(AND(Comments!B247='Policy card'!$C$3,Comments!N247="Closed"),1,0)</f>
        <v>0</v>
      </c>
      <c r="Q249" s="0" t="n">
        <f aca="false">Q248+P249</f>
        <v>7</v>
      </c>
    </row>
    <row r="250" customFormat="false" ht="15" hidden="false" customHeight="false" outlineLevel="0" collapsed="false">
      <c r="A250" s="0" t="str">
        <f aca="false">IF(OR(Drafts!A248="",Drafts!E248="Withdrawn",AND(Drafts!E248="Adopted",OR(Drafts!N248="Complete",Drafts!N248="Not needed"))),"",IFERROR(MATCH(Drafts!E248,StageList,0),99)*1000+248)</f>
        <v/>
      </c>
      <c r="C250" s="0" t="n">
        <f aca="false">IF(AND(Comments!B248='Policy card'!$C$3,Comments!N248="Open"),1,0)</f>
        <v>0</v>
      </c>
      <c r="D250" s="0" t="str">
        <f aca="false">IF(C250=1,E250,IF(P250=1,$E$2003+Q250,""))</f>
        <v/>
      </c>
      <c r="E250" s="0" t="n">
        <f aca="false">E249+C250</f>
        <v>0</v>
      </c>
      <c r="L250" s="0" t="n">
        <f aca="false">IF(AND(Versions!B248&lt;&gt;"",Versions!B248='Policy card'!$C$3),1,0)</f>
        <v>0</v>
      </c>
      <c r="M250" s="0" t="str">
        <f aca="false">IF(L250=1,N250,"")</f>
        <v/>
      </c>
      <c r="N250" s="0" t="n">
        <f aca="false">N249+L250</f>
        <v>2</v>
      </c>
      <c r="P250" s="0" t="n">
        <f aca="false">IF(AND(Comments!B248='Policy card'!$C$3,Comments!N248="Closed"),1,0)</f>
        <v>0</v>
      </c>
      <c r="Q250" s="0" t="n">
        <f aca="false">Q249+P250</f>
        <v>7</v>
      </c>
    </row>
    <row r="251" customFormat="false" ht="15" hidden="false" customHeight="false" outlineLevel="0" collapsed="false">
      <c r="A251" s="0" t="str">
        <f aca="false">IF(OR(Drafts!A249="",Drafts!E249="Withdrawn",AND(Drafts!E249="Adopted",OR(Drafts!N249="Complete",Drafts!N249="Not needed"))),"",IFERROR(MATCH(Drafts!E249,StageList,0),99)*1000+249)</f>
        <v/>
      </c>
      <c r="C251" s="0" t="n">
        <f aca="false">IF(AND(Comments!B249='Policy card'!$C$3,Comments!N249="Open"),1,0)</f>
        <v>0</v>
      </c>
      <c r="D251" s="0" t="str">
        <f aca="false">IF(C251=1,E251,IF(P251=1,$E$2003+Q251,""))</f>
        <v/>
      </c>
      <c r="E251" s="0" t="n">
        <f aca="false">E250+C251</f>
        <v>0</v>
      </c>
      <c r="L251" s="0" t="n">
        <f aca="false">IF(AND(Versions!B249&lt;&gt;"",Versions!B249='Policy card'!$C$3),1,0)</f>
        <v>0</v>
      </c>
      <c r="M251" s="0" t="str">
        <f aca="false">IF(L251=1,N251,"")</f>
        <v/>
      </c>
      <c r="N251" s="0" t="n">
        <f aca="false">N250+L251</f>
        <v>2</v>
      </c>
      <c r="P251" s="0" t="n">
        <f aca="false">IF(AND(Comments!B249='Policy card'!$C$3,Comments!N249="Closed"),1,0)</f>
        <v>0</v>
      </c>
      <c r="Q251" s="0" t="n">
        <f aca="false">Q250+P251</f>
        <v>7</v>
      </c>
    </row>
    <row r="252" customFormat="false" ht="15" hidden="false" customHeight="false" outlineLevel="0" collapsed="false">
      <c r="A252" s="0" t="str">
        <f aca="false">IF(OR(Drafts!A250="",Drafts!E250="Withdrawn",AND(Drafts!E250="Adopted",OR(Drafts!N250="Complete",Drafts!N250="Not needed"))),"",IFERROR(MATCH(Drafts!E250,StageList,0),99)*1000+250)</f>
        <v/>
      </c>
      <c r="C252" s="0" t="n">
        <f aca="false">IF(AND(Comments!B250='Policy card'!$C$3,Comments!N250="Open"),1,0)</f>
        <v>0</v>
      </c>
      <c r="D252" s="0" t="str">
        <f aca="false">IF(C252=1,E252,IF(P252=1,$E$2003+Q252,""))</f>
        <v/>
      </c>
      <c r="E252" s="0" t="n">
        <f aca="false">E251+C252</f>
        <v>0</v>
      </c>
      <c r="L252" s="0" t="n">
        <f aca="false">IF(AND(Versions!B250&lt;&gt;"",Versions!B250='Policy card'!$C$3),1,0)</f>
        <v>0</v>
      </c>
      <c r="M252" s="0" t="str">
        <f aca="false">IF(L252=1,N252,"")</f>
        <v/>
      </c>
      <c r="N252" s="0" t="n">
        <f aca="false">N251+L252</f>
        <v>2</v>
      </c>
      <c r="P252" s="0" t="n">
        <f aca="false">IF(AND(Comments!B250='Policy card'!$C$3,Comments!N250="Closed"),1,0)</f>
        <v>0</v>
      </c>
      <c r="Q252" s="0" t="n">
        <f aca="false">Q251+P252</f>
        <v>7</v>
      </c>
    </row>
    <row r="253" customFormat="false" ht="15" hidden="false" customHeight="false" outlineLevel="0" collapsed="false">
      <c r="A253" s="0" t="str">
        <f aca="false">IF(OR(Drafts!A251="",Drafts!E251="Withdrawn",AND(Drafts!E251="Adopted",OR(Drafts!N251="Complete",Drafts!N251="Not needed"))),"",IFERROR(MATCH(Drafts!E251,StageList,0),99)*1000+251)</f>
        <v/>
      </c>
      <c r="C253" s="0" t="n">
        <f aca="false">IF(AND(Comments!B251='Policy card'!$C$3,Comments!N251="Open"),1,0)</f>
        <v>0</v>
      </c>
      <c r="D253" s="0" t="str">
        <f aca="false">IF(C253=1,E253,IF(P253=1,$E$2003+Q253,""))</f>
        <v/>
      </c>
      <c r="E253" s="0" t="n">
        <f aca="false">E252+C253</f>
        <v>0</v>
      </c>
      <c r="L253" s="0" t="n">
        <f aca="false">IF(AND(Versions!B251&lt;&gt;"",Versions!B251='Policy card'!$C$3),1,0)</f>
        <v>0</v>
      </c>
      <c r="M253" s="0" t="str">
        <f aca="false">IF(L253=1,N253,"")</f>
        <v/>
      </c>
      <c r="N253" s="0" t="n">
        <f aca="false">N252+L253</f>
        <v>2</v>
      </c>
      <c r="P253" s="0" t="n">
        <f aca="false">IF(AND(Comments!B251='Policy card'!$C$3,Comments!N251="Closed"),1,0)</f>
        <v>0</v>
      </c>
      <c r="Q253" s="0" t="n">
        <f aca="false">Q252+P253</f>
        <v>7</v>
      </c>
    </row>
    <row r="254" customFormat="false" ht="15" hidden="false" customHeight="false" outlineLevel="0" collapsed="false">
      <c r="C254" s="0" t="n">
        <f aca="false">IF(AND(Comments!B252='Policy card'!$C$3,Comments!N252="Open"),1,0)</f>
        <v>0</v>
      </c>
      <c r="D254" s="0" t="str">
        <f aca="false">IF(C254=1,E254,IF(P254=1,$E$2003+Q254,""))</f>
        <v/>
      </c>
      <c r="E254" s="0" t="n">
        <f aca="false">E253+C254</f>
        <v>0</v>
      </c>
      <c r="L254" s="0" t="n">
        <f aca="false">IF(AND(Versions!B252&lt;&gt;"",Versions!B252='Policy card'!$C$3),1,0)</f>
        <v>0</v>
      </c>
      <c r="M254" s="0" t="str">
        <f aca="false">IF(L254=1,N254,"")</f>
        <v/>
      </c>
      <c r="N254" s="0" t="n">
        <f aca="false">N253+L254</f>
        <v>2</v>
      </c>
      <c r="P254" s="0" t="n">
        <f aca="false">IF(AND(Comments!B252='Policy card'!$C$3,Comments!N252="Closed"),1,0)</f>
        <v>0</v>
      </c>
      <c r="Q254" s="0" t="n">
        <f aca="false">Q253+P254</f>
        <v>7</v>
      </c>
    </row>
    <row r="255" customFormat="false" ht="15" hidden="false" customHeight="false" outlineLevel="0" collapsed="false">
      <c r="C255" s="0" t="n">
        <f aca="false">IF(AND(Comments!B253='Policy card'!$C$3,Comments!N253="Open"),1,0)</f>
        <v>0</v>
      </c>
      <c r="D255" s="0" t="str">
        <f aca="false">IF(C255=1,E255,IF(P255=1,$E$2003+Q255,""))</f>
        <v/>
      </c>
      <c r="E255" s="0" t="n">
        <f aca="false">E254+C255</f>
        <v>0</v>
      </c>
      <c r="L255" s="0" t="n">
        <f aca="false">IF(AND(Versions!B253&lt;&gt;"",Versions!B253='Policy card'!$C$3),1,0)</f>
        <v>0</v>
      </c>
      <c r="M255" s="0" t="str">
        <f aca="false">IF(L255=1,N255,"")</f>
        <v/>
      </c>
      <c r="N255" s="0" t="n">
        <f aca="false">N254+L255</f>
        <v>2</v>
      </c>
      <c r="P255" s="0" t="n">
        <f aca="false">IF(AND(Comments!B253='Policy card'!$C$3,Comments!N253="Closed"),1,0)</f>
        <v>0</v>
      </c>
      <c r="Q255" s="0" t="n">
        <f aca="false">Q254+P255</f>
        <v>7</v>
      </c>
    </row>
    <row r="256" customFormat="false" ht="15" hidden="false" customHeight="false" outlineLevel="0" collapsed="false">
      <c r="C256" s="0" t="n">
        <f aca="false">IF(AND(Comments!B254='Policy card'!$C$3,Comments!N254="Open"),1,0)</f>
        <v>0</v>
      </c>
      <c r="D256" s="0" t="str">
        <f aca="false">IF(C256=1,E256,IF(P256=1,$E$2003+Q256,""))</f>
        <v/>
      </c>
      <c r="E256" s="0" t="n">
        <f aca="false">E255+C256</f>
        <v>0</v>
      </c>
      <c r="L256" s="0" t="n">
        <f aca="false">IF(AND(Versions!B254&lt;&gt;"",Versions!B254='Policy card'!$C$3),1,0)</f>
        <v>0</v>
      </c>
      <c r="M256" s="0" t="str">
        <f aca="false">IF(L256=1,N256,"")</f>
        <v/>
      </c>
      <c r="N256" s="0" t="n">
        <f aca="false">N255+L256</f>
        <v>2</v>
      </c>
      <c r="P256" s="0" t="n">
        <f aca="false">IF(AND(Comments!B254='Policy card'!$C$3,Comments!N254="Closed"),1,0)</f>
        <v>0</v>
      </c>
      <c r="Q256" s="0" t="n">
        <f aca="false">Q255+P256</f>
        <v>7</v>
      </c>
    </row>
    <row r="257" customFormat="false" ht="15" hidden="false" customHeight="false" outlineLevel="0" collapsed="false">
      <c r="C257" s="0" t="n">
        <f aca="false">IF(AND(Comments!B255='Policy card'!$C$3,Comments!N255="Open"),1,0)</f>
        <v>0</v>
      </c>
      <c r="D257" s="0" t="str">
        <f aca="false">IF(C257=1,E257,IF(P257=1,$E$2003+Q257,""))</f>
        <v/>
      </c>
      <c r="E257" s="0" t="n">
        <f aca="false">E256+C257</f>
        <v>0</v>
      </c>
      <c r="L257" s="0" t="n">
        <f aca="false">IF(AND(Versions!B255&lt;&gt;"",Versions!B255='Policy card'!$C$3),1,0)</f>
        <v>0</v>
      </c>
      <c r="M257" s="0" t="str">
        <f aca="false">IF(L257=1,N257,"")</f>
        <v/>
      </c>
      <c r="N257" s="0" t="n">
        <f aca="false">N256+L257</f>
        <v>2</v>
      </c>
      <c r="P257" s="0" t="n">
        <f aca="false">IF(AND(Comments!B255='Policy card'!$C$3,Comments!N255="Closed"),1,0)</f>
        <v>0</v>
      </c>
      <c r="Q257" s="0" t="n">
        <f aca="false">Q256+P257</f>
        <v>7</v>
      </c>
    </row>
    <row r="258" customFormat="false" ht="15" hidden="false" customHeight="false" outlineLevel="0" collapsed="false">
      <c r="C258" s="0" t="n">
        <f aca="false">IF(AND(Comments!B256='Policy card'!$C$3,Comments!N256="Open"),1,0)</f>
        <v>0</v>
      </c>
      <c r="D258" s="0" t="str">
        <f aca="false">IF(C258=1,E258,IF(P258=1,$E$2003+Q258,""))</f>
        <v/>
      </c>
      <c r="E258" s="0" t="n">
        <f aca="false">E257+C258</f>
        <v>0</v>
      </c>
      <c r="L258" s="0" t="n">
        <f aca="false">IF(AND(Versions!B256&lt;&gt;"",Versions!B256='Policy card'!$C$3),1,0)</f>
        <v>0</v>
      </c>
      <c r="M258" s="0" t="str">
        <f aca="false">IF(L258=1,N258,"")</f>
        <v/>
      </c>
      <c r="N258" s="0" t="n">
        <f aca="false">N257+L258</f>
        <v>2</v>
      </c>
      <c r="P258" s="0" t="n">
        <f aca="false">IF(AND(Comments!B256='Policy card'!$C$3,Comments!N256="Closed"),1,0)</f>
        <v>0</v>
      </c>
      <c r="Q258" s="0" t="n">
        <f aca="false">Q257+P258</f>
        <v>7</v>
      </c>
    </row>
    <row r="259" customFormat="false" ht="15" hidden="false" customHeight="false" outlineLevel="0" collapsed="false">
      <c r="C259" s="0" t="n">
        <f aca="false">IF(AND(Comments!B257='Policy card'!$C$3,Comments!N257="Open"),1,0)</f>
        <v>0</v>
      </c>
      <c r="D259" s="0" t="str">
        <f aca="false">IF(C259=1,E259,IF(P259=1,$E$2003+Q259,""))</f>
        <v/>
      </c>
      <c r="E259" s="0" t="n">
        <f aca="false">E258+C259</f>
        <v>0</v>
      </c>
      <c r="L259" s="0" t="n">
        <f aca="false">IF(AND(Versions!B257&lt;&gt;"",Versions!B257='Policy card'!$C$3),1,0)</f>
        <v>0</v>
      </c>
      <c r="M259" s="0" t="str">
        <f aca="false">IF(L259=1,N259,"")</f>
        <v/>
      </c>
      <c r="N259" s="0" t="n">
        <f aca="false">N258+L259</f>
        <v>2</v>
      </c>
      <c r="P259" s="0" t="n">
        <f aca="false">IF(AND(Comments!B257='Policy card'!$C$3,Comments!N257="Closed"),1,0)</f>
        <v>0</v>
      </c>
      <c r="Q259" s="0" t="n">
        <f aca="false">Q258+P259</f>
        <v>7</v>
      </c>
    </row>
    <row r="260" customFormat="false" ht="15" hidden="false" customHeight="false" outlineLevel="0" collapsed="false">
      <c r="C260" s="0" t="n">
        <f aca="false">IF(AND(Comments!B258='Policy card'!$C$3,Comments!N258="Open"),1,0)</f>
        <v>0</v>
      </c>
      <c r="D260" s="0" t="str">
        <f aca="false">IF(C260=1,E260,IF(P260=1,$E$2003+Q260,""))</f>
        <v/>
      </c>
      <c r="E260" s="0" t="n">
        <f aca="false">E259+C260</f>
        <v>0</v>
      </c>
      <c r="L260" s="0" t="n">
        <f aca="false">IF(AND(Versions!B258&lt;&gt;"",Versions!B258='Policy card'!$C$3),1,0)</f>
        <v>0</v>
      </c>
      <c r="M260" s="0" t="str">
        <f aca="false">IF(L260=1,N260,"")</f>
        <v/>
      </c>
      <c r="N260" s="0" t="n">
        <f aca="false">N259+L260</f>
        <v>2</v>
      </c>
      <c r="P260" s="0" t="n">
        <f aca="false">IF(AND(Comments!B258='Policy card'!$C$3,Comments!N258="Closed"),1,0)</f>
        <v>0</v>
      </c>
      <c r="Q260" s="0" t="n">
        <f aca="false">Q259+P260</f>
        <v>7</v>
      </c>
    </row>
    <row r="261" customFormat="false" ht="15" hidden="false" customHeight="false" outlineLevel="0" collapsed="false">
      <c r="C261" s="0" t="n">
        <f aca="false">IF(AND(Comments!B259='Policy card'!$C$3,Comments!N259="Open"),1,0)</f>
        <v>0</v>
      </c>
      <c r="D261" s="0" t="str">
        <f aca="false">IF(C261=1,E261,IF(P261=1,$E$2003+Q261,""))</f>
        <v/>
      </c>
      <c r="E261" s="0" t="n">
        <f aca="false">E260+C261</f>
        <v>0</v>
      </c>
      <c r="L261" s="0" t="n">
        <f aca="false">IF(AND(Versions!B259&lt;&gt;"",Versions!B259='Policy card'!$C$3),1,0)</f>
        <v>0</v>
      </c>
      <c r="M261" s="0" t="str">
        <f aca="false">IF(L261=1,N261,"")</f>
        <v/>
      </c>
      <c r="N261" s="0" t="n">
        <f aca="false">N260+L261</f>
        <v>2</v>
      </c>
      <c r="P261" s="0" t="n">
        <f aca="false">IF(AND(Comments!B259='Policy card'!$C$3,Comments!N259="Closed"),1,0)</f>
        <v>0</v>
      </c>
      <c r="Q261" s="0" t="n">
        <f aca="false">Q260+P261</f>
        <v>7</v>
      </c>
    </row>
    <row r="262" customFormat="false" ht="15" hidden="false" customHeight="false" outlineLevel="0" collapsed="false">
      <c r="C262" s="0" t="n">
        <f aca="false">IF(AND(Comments!B260='Policy card'!$C$3,Comments!N260="Open"),1,0)</f>
        <v>0</v>
      </c>
      <c r="D262" s="0" t="str">
        <f aca="false">IF(C262=1,E262,IF(P262=1,$E$2003+Q262,""))</f>
        <v/>
      </c>
      <c r="E262" s="0" t="n">
        <f aca="false">E261+C262</f>
        <v>0</v>
      </c>
      <c r="L262" s="0" t="n">
        <f aca="false">IF(AND(Versions!B260&lt;&gt;"",Versions!B260='Policy card'!$C$3),1,0)</f>
        <v>0</v>
      </c>
      <c r="M262" s="0" t="str">
        <f aca="false">IF(L262=1,N262,"")</f>
        <v/>
      </c>
      <c r="N262" s="0" t="n">
        <f aca="false">N261+L262</f>
        <v>2</v>
      </c>
      <c r="P262" s="0" t="n">
        <f aca="false">IF(AND(Comments!B260='Policy card'!$C$3,Comments!N260="Closed"),1,0)</f>
        <v>0</v>
      </c>
      <c r="Q262" s="0" t="n">
        <f aca="false">Q261+P262</f>
        <v>7</v>
      </c>
    </row>
    <row r="263" customFormat="false" ht="15" hidden="false" customHeight="false" outlineLevel="0" collapsed="false">
      <c r="C263" s="0" t="n">
        <f aca="false">IF(AND(Comments!B261='Policy card'!$C$3,Comments!N261="Open"),1,0)</f>
        <v>0</v>
      </c>
      <c r="D263" s="0" t="str">
        <f aca="false">IF(C263=1,E263,IF(P263=1,$E$2003+Q263,""))</f>
        <v/>
      </c>
      <c r="E263" s="0" t="n">
        <f aca="false">E262+C263</f>
        <v>0</v>
      </c>
      <c r="L263" s="0" t="n">
        <f aca="false">IF(AND(Versions!B261&lt;&gt;"",Versions!B261='Policy card'!$C$3),1,0)</f>
        <v>0</v>
      </c>
      <c r="M263" s="0" t="str">
        <f aca="false">IF(L263=1,N263,"")</f>
        <v/>
      </c>
      <c r="N263" s="0" t="n">
        <f aca="false">N262+L263</f>
        <v>2</v>
      </c>
      <c r="P263" s="0" t="n">
        <f aca="false">IF(AND(Comments!B261='Policy card'!$C$3,Comments!N261="Closed"),1,0)</f>
        <v>0</v>
      </c>
      <c r="Q263" s="0" t="n">
        <f aca="false">Q262+P263</f>
        <v>7</v>
      </c>
    </row>
    <row r="264" customFormat="false" ht="15" hidden="false" customHeight="false" outlineLevel="0" collapsed="false">
      <c r="C264" s="0" t="n">
        <f aca="false">IF(AND(Comments!B262='Policy card'!$C$3,Comments!N262="Open"),1,0)</f>
        <v>0</v>
      </c>
      <c r="D264" s="0" t="str">
        <f aca="false">IF(C264=1,E264,IF(P264=1,$E$2003+Q264,""))</f>
        <v/>
      </c>
      <c r="E264" s="0" t="n">
        <f aca="false">E263+C264</f>
        <v>0</v>
      </c>
      <c r="L264" s="0" t="n">
        <f aca="false">IF(AND(Versions!B262&lt;&gt;"",Versions!B262='Policy card'!$C$3),1,0)</f>
        <v>0</v>
      </c>
      <c r="M264" s="0" t="str">
        <f aca="false">IF(L264=1,N264,"")</f>
        <v/>
      </c>
      <c r="N264" s="0" t="n">
        <f aca="false">N263+L264</f>
        <v>2</v>
      </c>
      <c r="P264" s="0" t="n">
        <f aca="false">IF(AND(Comments!B262='Policy card'!$C$3,Comments!N262="Closed"),1,0)</f>
        <v>0</v>
      </c>
      <c r="Q264" s="0" t="n">
        <f aca="false">Q263+P264</f>
        <v>7</v>
      </c>
    </row>
    <row r="265" customFormat="false" ht="15" hidden="false" customHeight="false" outlineLevel="0" collapsed="false">
      <c r="C265" s="0" t="n">
        <f aca="false">IF(AND(Comments!B263='Policy card'!$C$3,Comments!N263="Open"),1,0)</f>
        <v>0</v>
      </c>
      <c r="D265" s="0" t="str">
        <f aca="false">IF(C265=1,E265,IF(P265=1,$E$2003+Q265,""))</f>
        <v/>
      </c>
      <c r="E265" s="0" t="n">
        <f aca="false">E264+C265</f>
        <v>0</v>
      </c>
      <c r="L265" s="0" t="n">
        <f aca="false">IF(AND(Versions!B263&lt;&gt;"",Versions!B263='Policy card'!$C$3),1,0)</f>
        <v>0</v>
      </c>
      <c r="M265" s="0" t="str">
        <f aca="false">IF(L265=1,N265,"")</f>
        <v/>
      </c>
      <c r="N265" s="0" t="n">
        <f aca="false">N264+L265</f>
        <v>2</v>
      </c>
      <c r="P265" s="0" t="n">
        <f aca="false">IF(AND(Comments!B263='Policy card'!$C$3,Comments!N263="Closed"),1,0)</f>
        <v>0</v>
      </c>
      <c r="Q265" s="0" t="n">
        <f aca="false">Q264+P265</f>
        <v>7</v>
      </c>
    </row>
    <row r="266" customFormat="false" ht="15" hidden="false" customHeight="false" outlineLevel="0" collapsed="false">
      <c r="C266" s="0" t="n">
        <f aca="false">IF(AND(Comments!B264='Policy card'!$C$3,Comments!N264="Open"),1,0)</f>
        <v>0</v>
      </c>
      <c r="D266" s="0" t="str">
        <f aca="false">IF(C266=1,E266,IF(P266=1,$E$2003+Q266,""))</f>
        <v/>
      </c>
      <c r="E266" s="0" t="n">
        <f aca="false">E265+C266</f>
        <v>0</v>
      </c>
      <c r="L266" s="0" t="n">
        <f aca="false">IF(AND(Versions!B264&lt;&gt;"",Versions!B264='Policy card'!$C$3),1,0)</f>
        <v>0</v>
      </c>
      <c r="M266" s="0" t="str">
        <f aca="false">IF(L266=1,N266,"")</f>
        <v/>
      </c>
      <c r="N266" s="0" t="n">
        <f aca="false">N265+L266</f>
        <v>2</v>
      </c>
      <c r="P266" s="0" t="n">
        <f aca="false">IF(AND(Comments!B264='Policy card'!$C$3,Comments!N264="Closed"),1,0)</f>
        <v>0</v>
      </c>
      <c r="Q266" s="0" t="n">
        <f aca="false">Q265+P266</f>
        <v>7</v>
      </c>
    </row>
    <row r="267" customFormat="false" ht="15" hidden="false" customHeight="false" outlineLevel="0" collapsed="false">
      <c r="C267" s="0" t="n">
        <f aca="false">IF(AND(Comments!B265='Policy card'!$C$3,Comments!N265="Open"),1,0)</f>
        <v>0</v>
      </c>
      <c r="D267" s="0" t="str">
        <f aca="false">IF(C267=1,E267,IF(P267=1,$E$2003+Q267,""))</f>
        <v/>
      </c>
      <c r="E267" s="0" t="n">
        <f aca="false">E266+C267</f>
        <v>0</v>
      </c>
      <c r="L267" s="0" t="n">
        <f aca="false">IF(AND(Versions!B265&lt;&gt;"",Versions!B265='Policy card'!$C$3),1,0)</f>
        <v>0</v>
      </c>
      <c r="M267" s="0" t="str">
        <f aca="false">IF(L267=1,N267,"")</f>
        <v/>
      </c>
      <c r="N267" s="0" t="n">
        <f aca="false">N266+L267</f>
        <v>2</v>
      </c>
      <c r="P267" s="0" t="n">
        <f aca="false">IF(AND(Comments!B265='Policy card'!$C$3,Comments!N265="Closed"),1,0)</f>
        <v>0</v>
      </c>
      <c r="Q267" s="0" t="n">
        <f aca="false">Q266+P267</f>
        <v>7</v>
      </c>
    </row>
    <row r="268" customFormat="false" ht="15" hidden="false" customHeight="false" outlineLevel="0" collapsed="false">
      <c r="C268" s="0" t="n">
        <f aca="false">IF(AND(Comments!B266='Policy card'!$C$3,Comments!N266="Open"),1,0)</f>
        <v>0</v>
      </c>
      <c r="D268" s="0" t="str">
        <f aca="false">IF(C268=1,E268,IF(P268=1,$E$2003+Q268,""))</f>
        <v/>
      </c>
      <c r="E268" s="0" t="n">
        <f aca="false">E267+C268</f>
        <v>0</v>
      </c>
      <c r="L268" s="0" t="n">
        <f aca="false">IF(AND(Versions!B266&lt;&gt;"",Versions!B266='Policy card'!$C$3),1,0)</f>
        <v>0</v>
      </c>
      <c r="M268" s="0" t="str">
        <f aca="false">IF(L268=1,N268,"")</f>
        <v/>
      </c>
      <c r="N268" s="0" t="n">
        <f aca="false">N267+L268</f>
        <v>2</v>
      </c>
      <c r="P268" s="0" t="n">
        <f aca="false">IF(AND(Comments!B266='Policy card'!$C$3,Comments!N266="Closed"),1,0)</f>
        <v>0</v>
      </c>
      <c r="Q268" s="0" t="n">
        <f aca="false">Q267+P268</f>
        <v>7</v>
      </c>
    </row>
    <row r="269" customFormat="false" ht="15" hidden="false" customHeight="false" outlineLevel="0" collapsed="false">
      <c r="C269" s="0" t="n">
        <f aca="false">IF(AND(Comments!B267='Policy card'!$C$3,Comments!N267="Open"),1,0)</f>
        <v>0</v>
      </c>
      <c r="D269" s="0" t="str">
        <f aca="false">IF(C269=1,E269,IF(P269=1,$E$2003+Q269,""))</f>
        <v/>
      </c>
      <c r="E269" s="0" t="n">
        <f aca="false">E268+C269</f>
        <v>0</v>
      </c>
      <c r="L269" s="0" t="n">
        <f aca="false">IF(AND(Versions!B267&lt;&gt;"",Versions!B267='Policy card'!$C$3),1,0)</f>
        <v>0</v>
      </c>
      <c r="M269" s="0" t="str">
        <f aca="false">IF(L269=1,N269,"")</f>
        <v/>
      </c>
      <c r="N269" s="0" t="n">
        <f aca="false">N268+L269</f>
        <v>2</v>
      </c>
      <c r="P269" s="0" t="n">
        <f aca="false">IF(AND(Comments!B267='Policy card'!$C$3,Comments!N267="Closed"),1,0)</f>
        <v>0</v>
      </c>
      <c r="Q269" s="0" t="n">
        <f aca="false">Q268+P269</f>
        <v>7</v>
      </c>
    </row>
    <row r="270" customFormat="false" ht="15" hidden="false" customHeight="false" outlineLevel="0" collapsed="false">
      <c r="C270" s="0" t="n">
        <f aca="false">IF(AND(Comments!B268='Policy card'!$C$3,Comments!N268="Open"),1,0)</f>
        <v>0</v>
      </c>
      <c r="D270" s="0" t="str">
        <f aca="false">IF(C270=1,E270,IF(P270=1,$E$2003+Q270,""))</f>
        <v/>
      </c>
      <c r="E270" s="0" t="n">
        <f aca="false">E269+C270</f>
        <v>0</v>
      </c>
      <c r="L270" s="0" t="n">
        <f aca="false">IF(AND(Versions!B268&lt;&gt;"",Versions!B268='Policy card'!$C$3),1,0)</f>
        <v>0</v>
      </c>
      <c r="M270" s="0" t="str">
        <f aca="false">IF(L270=1,N270,"")</f>
        <v/>
      </c>
      <c r="N270" s="0" t="n">
        <f aca="false">N269+L270</f>
        <v>2</v>
      </c>
      <c r="P270" s="0" t="n">
        <f aca="false">IF(AND(Comments!B268='Policy card'!$C$3,Comments!N268="Closed"),1,0)</f>
        <v>0</v>
      </c>
      <c r="Q270" s="0" t="n">
        <f aca="false">Q269+P270</f>
        <v>7</v>
      </c>
    </row>
    <row r="271" customFormat="false" ht="15" hidden="false" customHeight="false" outlineLevel="0" collapsed="false">
      <c r="C271" s="0" t="n">
        <f aca="false">IF(AND(Comments!B269='Policy card'!$C$3,Comments!N269="Open"),1,0)</f>
        <v>0</v>
      </c>
      <c r="D271" s="0" t="str">
        <f aca="false">IF(C271=1,E271,IF(P271=1,$E$2003+Q271,""))</f>
        <v/>
      </c>
      <c r="E271" s="0" t="n">
        <f aca="false">E270+C271</f>
        <v>0</v>
      </c>
      <c r="L271" s="0" t="n">
        <f aca="false">IF(AND(Versions!B269&lt;&gt;"",Versions!B269='Policy card'!$C$3),1,0)</f>
        <v>0</v>
      </c>
      <c r="M271" s="0" t="str">
        <f aca="false">IF(L271=1,N271,"")</f>
        <v/>
      </c>
      <c r="N271" s="0" t="n">
        <f aca="false">N270+L271</f>
        <v>2</v>
      </c>
      <c r="P271" s="0" t="n">
        <f aca="false">IF(AND(Comments!B269='Policy card'!$C$3,Comments!N269="Closed"),1,0)</f>
        <v>0</v>
      </c>
      <c r="Q271" s="0" t="n">
        <f aca="false">Q270+P271</f>
        <v>7</v>
      </c>
    </row>
    <row r="272" customFormat="false" ht="15" hidden="false" customHeight="false" outlineLevel="0" collapsed="false">
      <c r="C272" s="0" t="n">
        <f aca="false">IF(AND(Comments!B270='Policy card'!$C$3,Comments!N270="Open"),1,0)</f>
        <v>0</v>
      </c>
      <c r="D272" s="0" t="str">
        <f aca="false">IF(C272=1,E272,IF(P272=1,$E$2003+Q272,""))</f>
        <v/>
      </c>
      <c r="E272" s="0" t="n">
        <f aca="false">E271+C272</f>
        <v>0</v>
      </c>
      <c r="L272" s="0" t="n">
        <f aca="false">IF(AND(Versions!B270&lt;&gt;"",Versions!B270='Policy card'!$C$3),1,0)</f>
        <v>0</v>
      </c>
      <c r="M272" s="0" t="str">
        <f aca="false">IF(L272=1,N272,"")</f>
        <v/>
      </c>
      <c r="N272" s="0" t="n">
        <f aca="false">N271+L272</f>
        <v>2</v>
      </c>
      <c r="P272" s="0" t="n">
        <f aca="false">IF(AND(Comments!B270='Policy card'!$C$3,Comments!N270="Closed"),1,0)</f>
        <v>0</v>
      </c>
      <c r="Q272" s="0" t="n">
        <f aca="false">Q271+P272</f>
        <v>7</v>
      </c>
    </row>
    <row r="273" customFormat="false" ht="15" hidden="false" customHeight="false" outlineLevel="0" collapsed="false">
      <c r="C273" s="0" t="n">
        <f aca="false">IF(AND(Comments!B271='Policy card'!$C$3,Comments!N271="Open"),1,0)</f>
        <v>0</v>
      </c>
      <c r="D273" s="0" t="str">
        <f aca="false">IF(C273=1,E273,IF(P273=1,$E$2003+Q273,""))</f>
        <v/>
      </c>
      <c r="E273" s="0" t="n">
        <f aca="false">E272+C273</f>
        <v>0</v>
      </c>
      <c r="L273" s="0" t="n">
        <f aca="false">IF(AND(Versions!B271&lt;&gt;"",Versions!B271='Policy card'!$C$3),1,0)</f>
        <v>0</v>
      </c>
      <c r="M273" s="0" t="str">
        <f aca="false">IF(L273=1,N273,"")</f>
        <v/>
      </c>
      <c r="N273" s="0" t="n">
        <f aca="false">N272+L273</f>
        <v>2</v>
      </c>
      <c r="P273" s="0" t="n">
        <f aca="false">IF(AND(Comments!B271='Policy card'!$C$3,Comments!N271="Closed"),1,0)</f>
        <v>0</v>
      </c>
      <c r="Q273" s="0" t="n">
        <f aca="false">Q272+P273</f>
        <v>7</v>
      </c>
    </row>
    <row r="274" customFormat="false" ht="15" hidden="false" customHeight="false" outlineLevel="0" collapsed="false">
      <c r="C274" s="0" t="n">
        <f aca="false">IF(AND(Comments!B272='Policy card'!$C$3,Comments!N272="Open"),1,0)</f>
        <v>0</v>
      </c>
      <c r="D274" s="0" t="str">
        <f aca="false">IF(C274=1,E274,IF(P274=1,$E$2003+Q274,""))</f>
        <v/>
      </c>
      <c r="E274" s="0" t="n">
        <f aca="false">E273+C274</f>
        <v>0</v>
      </c>
      <c r="L274" s="0" t="n">
        <f aca="false">IF(AND(Versions!B272&lt;&gt;"",Versions!B272='Policy card'!$C$3),1,0)</f>
        <v>0</v>
      </c>
      <c r="M274" s="0" t="str">
        <f aca="false">IF(L274=1,N274,"")</f>
        <v/>
      </c>
      <c r="N274" s="0" t="n">
        <f aca="false">N273+L274</f>
        <v>2</v>
      </c>
      <c r="P274" s="0" t="n">
        <f aca="false">IF(AND(Comments!B272='Policy card'!$C$3,Comments!N272="Closed"),1,0)</f>
        <v>0</v>
      </c>
      <c r="Q274" s="0" t="n">
        <f aca="false">Q273+P274</f>
        <v>7</v>
      </c>
    </row>
    <row r="275" customFormat="false" ht="15" hidden="false" customHeight="false" outlineLevel="0" collapsed="false">
      <c r="C275" s="0" t="n">
        <f aca="false">IF(AND(Comments!B273='Policy card'!$C$3,Comments!N273="Open"),1,0)</f>
        <v>0</v>
      </c>
      <c r="D275" s="0" t="str">
        <f aca="false">IF(C275=1,E275,IF(P275=1,$E$2003+Q275,""))</f>
        <v/>
      </c>
      <c r="E275" s="0" t="n">
        <f aca="false">E274+C275</f>
        <v>0</v>
      </c>
      <c r="L275" s="0" t="n">
        <f aca="false">IF(AND(Versions!B273&lt;&gt;"",Versions!B273='Policy card'!$C$3),1,0)</f>
        <v>0</v>
      </c>
      <c r="M275" s="0" t="str">
        <f aca="false">IF(L275=1,N275,"")</f>
        <v/>
      </c>
      <c r="N275" s="0" t="n">
        <f aca="false">N274+L275</f>
        <v>2</v>
      </c>
      <c r="P275" s="0" t="n">
        <f aca="false">IF(AND(Comments!B273='Policy card'!$C$3,Comments!N273="Closed"),1,0)</f>
        <v>0</v>
      </c>
      <c r="Q275" s="0" t="n">
        <f aca="false">Q274+P275</f>
        <v>7</v>
      </c>
    </row>
    <row r="276" customFormat="false" ht="15" hidden="false" customHeight="false" outlineLevel="0" collapsed="false">
      <c r="C276" s="0" t="n">
        <f aca="false">IF(AND(Comments!B274='Policy card'!$C$3,Comments!N274="Open"),1,0)</f>
        <v>0</v>
      </c>
      <c r="D276" s="0" t="str">
        <f aca="false">IF(C276=1,E276,IF(P276=1,$E$2003+Q276,""))</f>
        <v/>
      </c>
      <c r="E276" s="0" t="n">
        <f aca="false">E275+C276</f>
        <v>0</v>
      </c>
      <c r="L276" s="0" t="n">
        <f aca="false">IF(AND(Versions!B274&lt;&gt;"",Versions!B274='Policy card'!$C$3),1,0)</f>
        <v>0</v>
      </c>
      <c r="M276" s="0" t="str">
        <f aca="false">IF(L276=1,N276,"")</f>
        <v/>
      </c>
      <c r="N276" s="0" t="n">
        <f aca="false">N275+L276</f>
        <v>2</v>
      </c>
      <c r="P276" s="0" t="n">
        <f aca="false">IF(AND(Comments!B274='Policy card'!$C$3,Comments!N274="Closed"),1,0)</f>
        <v>0</v>
      </c>
      <c r="Q276" s="0" t="n">
        <f aca="false">Q275+P276</f>
        <v>7</v>
      </c>
    </row>
    <row r="277" customFormat="false" ht="15" hidden="false" customHeight="false" outlineLevel="0" collapsed="false">
      <c r="C277" s="0" t="n">
        <f aca="false">IF(AND(Comments!B275='Policy card'!$C$3,Comments!N275="Open"),1,0)</f>
        <v>0</v>
      </c>
      <c r="D277" s="0" t="str">
        <f aca="false">IF(C277=1,E277,IF(P277=1,$E$2003+Q277,""))</f>
        <v/>
      </c>
      <c r="E277" s="0" t="n">
        <f aca="false">E276+C277</f>
        <v>0</v>
      </c>
      <c r="L277" s="0" t="n">
        <f aca="false">IF(AND(Versions!B275&lt;&gt;"",Versions!B275='Policy card'!$C$3),1,0)</f>
        <v>0</v>
      </c>
      <c r="M277" s="0" t="str">
        <f aca="false">IF(L277=1,N277,"")</f>
        <v/>
      </c>
      <c r="N277" s="0" t="n">
        <f aca="false">N276+L277</f>
        <v>2</v>
      </c>
      <c r="P277" s="0" t="n">
        <f aca="false">IF(AND(Comments!B275='Policy card'!$C$3,Comments!N275="Closed"),1,0)</f>
        <v>0</v>
      </c>
      <c r="Q277" s="0" t="n">
        <f aca="false">Q276+P277</f>
        <v>7</v>
      </c>
    </row>
    <row r="278" customFormat="false" ht="15" hidden="false" customHeight="false" outlineLevel="0" collapsed="false">
      <c r="C278" s="0" t="n">
        <f aca="false">IF(AND(Comments!B276='Policy card'!$C$3,Comments!N276="Open"),1,0)</f>
        <v>0</v>
      </c>
      <c r="D278" s="0" t="str">
        <f aca="false">IF(C278=1,E278,IF(P278=1,$E$2003+Q278,""))</f>
        <v/>
      </c>
      <c r="E278" s="0" t="n">
        <f aca="false">E277+C278</f>
        <v>0</v>
      </c>
      <c r="L278" s="0" t="n">
        <f aca="false">IF(AND(Versions!B276&lt;&gt;"",Versions!B276='Policy card'!$C$3),1,0)</f>
        <v>0</v>
      </c>
      <c r="M278" s="0" t="str">
        <f aca="false">IF(L278=1,N278,"")</f>
        <v/>
      </c>
      <c r="N278" s="0" t="n">
        <f aca="false">N277+L278</f>
        <v>2</v>
      </c>
      <c r="P278" s="0" t="n">
        <f aca="false">IF(AND(Comments!B276='Policy card'!$C$3,Comments!N276="Closed"),1,0)</f>
        <v>0</v>
      </c>
      <c r="Q278" s="0" t="n">
        <f aca="false">Q277+P278</f>
        <v>7</v>
      </c>
    </row>
    <row r="279" customFormat="false" ht="15" hidden="false" customHeight="false" outlineLevel="0" collapsed="false">
      <c r="C279" s="0" t="n">
        <f aca="false">IF(AND(Comments!B277='Policy card'!$C$3,Comments!N277="Open"),1,0)</f>
        <v>0</v>
      </c>
      <c r="D279" s="0" t="str">
        <f aca="false">IF(C279=1,E279,IF(P279=1,$E$2003+Q279,""))</f>
        <v/>
      </c>
      <c r="E279" s="0" t="n">
        <f aca="false">E278+C279</f>
        <v>0</v>
      </c>
      <c r="L279" s="0" t="n">
        <f aca="false">IF(AND(Versions!B277&lt;&gt;"",Versions!B277='Policy card'!$C$3),1,0)</f>
        <v>0</v>
      </c>
      <c r="M279" s="0" t="str">
        <f aca="false">IF(L279=1,N279,"")</f>
        <v/>
      </c>
      <c r="N279" s="0" t="n">
        <f aca="false">N278+L279</f>
        <v>2</v>
      </c>
      <c r="P279" s="0" t="n">
        <f aca="false">IF(AND(Comments!B277='Policy card'!$C$3,Comments!N277="Closed"),1,0)</f>
        <v>0</v>
      </c>
      <c r="Q279" s="0" t="n">
        <f aca="false">Q278+P279</f>
        <v>7</v>
      </c>
    </row>
    <row r="280" customFormat="false" ht="15" hidden="false" customHeight="false" outlineLevel="0" collapsed="false">
      <c r="C280" s="0" t="n">
        <f aca="false">IF(AND(Comments!B278='Policy card'!$C$3,Comments!N278="Open"),1,0)</f>
        <v>0</v>
      </c>
      <c r="D280" s="0" t="str">
        <f aca="false">IF(C280=1,E280,IF(P280=1,$E$2003+Q280,""))</f>
        <v/>
      </c>
      <c r="E280" s="0" t="n">
        <f aca="false">E279+C280</f>
        <v>0</v>
      </c>
      <c r="L280" s="0" t="n">
        <f aca="false">IF(AND(Versions!B278&lt;&gt;"",Versions!B278='Policy card'!$C$3),1,0)</f>
        <v>0</v>
      </c>
      <c r="M280" s="0" t="str">
        <f aca="false">IF(L280=1,N280,"")</f>
        <v/>
      </c>
      <c r="N280" s="0" t="n">
        <f aca="false">N279+L280</f>
        <v>2</v>
      </c>
      <c r="P280" s="0" t="n">
        <f aca="false">IF(AND(Comments!B278='Policy card'!$C$3,Comments!N278="Closed"),1,0)</f>
        <v>0</v>
      </c>
      <c r="Q280" s="0" t="n">
        <f aca="false">Q279+P280</f>
        <v>7</v>
      </c>
    </row>
    <row r="281" customFormat="false" ht="15" hidden="false" customHeight="false" outlineLevel="0" collapsed="false">
      <c r="C281" s="0" t="n">
        <f aca="false">IF(AND(Comments!B279='Policy card'!$C$3,Comments!N279="Open"),1,0)</f>
        <v>0</v>
      </c>
      <c r="D281" s="0" t="str">
        <f aca="false">IF(C281=1,E281,IF(P281=1,$E$2003+Q281,""))</f>
        <v/>
      </c>
      <c r="E281" s="0" t="n">
        <f aca="false">E280+C281</f>
        <v>0</v>
      </c>
      <c r="L281" s="0" t="n">
        <f aca="false">IF(AND(Versions!B279&lt;&gt;"",Versions!B279='Policy card'!$C$3),1,0)</f>
        <v>0</v>
      </c>
      <c r="M281" s="0" t="str">
        <f aca="false">IF(L281=1,N281,"")</f>
        <v/>
      </c>
      <c r="N281" s="0" t="n">
        <f aca="false">N280+L281</f>
        <v>2</v>
      </c>
      <c r="P281" s="0" t="n">
        <f aca="false">IF(AND(Comments!B279='Policy card'!$C$3,Comments!N279="Closed"),1,0)</f>
        <v>0</v>
      </c>
      <c r="Q281" s="0" t="n">
        <f aca="false">Q280+P281</f>
        <v>7</v>
      </c>
    </row>
    <row r="282" customFormat="false" ht="15" hidden="false" customHeight="false" outlineLevel="0" collapsed="false">
      <c r="C282" s="0" t="n">
        <f aca="false">IF(AND(Comments!B280='Policy card'!$C$3,Comments!N280="Open"),1,0)</f>
        <v>0</v>
      </c>
      <c r="D282" s="0" t="str">
        <f aca="false">IF(C282=1,E282,IF(P282=1,$E$2003+Q282,""))</f>
        <v/>
      </c>
      <c r="E282" s="0" t="n">
        <f aca="false">E281+C282</f>
        <v>0</v>
      </c>
      <c r="L282" s="0" t="n">
        <f aca="false">IF(AND(Versions!B280&lt;&gt;"",Versions!B280='Policy card'!$C$3),1,0)</f>
        <v>0</v>
      </c>
      <c r="M282" s="0" t="str">
        <f aca="false">IF(L282=1,N282,"")</f>
        <v/>
      </c>
      <c r="N282" s="0" t="n">
        <f aca="false">N281+L282</f>
        <v>2</v>
      </c>
      <c r="P282" s="0" t="n">
        <f aca="false">IF(AND(Comments!B280='Policy card'!$C$3,Comments!N280="Closed"),1,0)</f>
        <v>0</v>
      </c>
      <c r="Q282" s="0" t="n">
        <f aca="false">Q281+P282</f>
        <v>7</v>
      </c>
    </row>
    <row r="283" customFormat="false" ht="15" hidden="false" customHeight="false" outlineLevel="0" collapsed="false">
      <c r="C283" s="0" t="n">
        <f aca="false">IF(AND(Comments!B281='Policy card'!$C$3,Comments!N281="Open"),1,0)</f>
        <v>0</v>
      </c>
      <c r="D283" s="0" t="str">
        <f aca="false">IF(C283=1,E283,IF(P283=1,$E$2003+Q283,""))</f>
        <v/>
      </c>
      <c r="E283" s="0" t="n">
        <f aca="false">E282+C283</f>
        <v>0</v>
      </c>
      <c r="L283" s="0" t="n">
        <f aca="false">IF(AND(Versions!B281&lt;&gt;"",Versions!B281='Policy card'!$C$3),1,0)</f>
        <v>0</v>
      </c>
      <c r="M283" s="0" t="str">
        <f aca="false">IF(L283=1,N283,"")</f>
        <v/>
      </c>
      <c r="N283" s="0" t="n">
        <f aca="false">N282+L283</f>
        <v>2</v>
      </c>
      <c r="P283" s="0" t="n">
        <f aca="false">IF(AND(Comments!B281='Policy card'!$C$3,Comments!N281="Closed"),1,0)</f>
        <v>0</v>
      </c>
      <c r="Q283" s="0" t="n">
        <f aca="false">Q282+P283</f>
        <v>7</v>
      </c>
    </row>
    <row r="284" customFormat="false" ht="15" hidden="false" customHeight="false" outlineLevel="0" collapsed="false">
      <c r="C284" s="0" t="n">
        <f aca="false">IF(AND(Comments!B282='Policy card'!$C$3,Comments!N282="Open"),1,0)</f>
        <v>0</v>
      </c>
      <c r="D284" s="0" t="str">
        <f aca="false">IF(C284=1,E284,IF(P284=1,$E$2003+Q284,""))</f>
        <v/>
      </c>
      <c r="E284" s="0" t="n">
        <f aca="false">E283+C284</f>
        <v>0</v>
      </c>
      <c r="L284" s="0" t="n">
        <f aca="false">IF(AND(Versions!B282&lt;&gt;"",Versions!B282='Policy card'!$C$3),1,0)</f>
        <v>0</v>
      </c>
      <c r="M284" s="0" t="str">
        <f aca="false">IF(L284=1,N284,"")</f>
        <v/>
      </c>
      <c r="N284" s="0" t="n">
        <f aca="false">N283+L284</f>
        <v>2</v>
      </c>
      <c r="P284" s="0" t="n">
        <f aca="false">IF(AND(Comments!B282='Policy card'!$C$3,Comments!N282="Closed"),1,0)</f>
        <v>0</v>
      </c>
      <c r="Q284" s="0" t="n">
        <f aca="false">Q283+P284</f>
        <v>7</v>
      </c>
    </row>
    <row r="285" customFormat="false" ht="15" hidden="false" customHeight="false" outlineLevel="0" collapsed="false">
      <c r="C285" s="0" t="n">
        <f aca="false">IF(AND(Comments!B283='Policy card'!$C$3,Comments!N283="Open"),1,0)</f>
        <v>0</v>
      </c>
      <c r="D285" s="0" t="str">
        <f aca="false">IF(C285=1,E285,IF(P285=1,$E$2003+Q285,""))</f>
        <v/>
      </c>
      <c r="E285" s="0" t="n">
        <f aca="false">E284+C285</f>
        <v>0</v>
      </c>
      <c r="L285" s="0" t="n">
        <f aca="false">IF(AND(Versions!B283&lt;&gt;"",Versions!B283='Policy card'!$C$3),1,0)</f>
        <v>0</v>
      </c>
      <c r="M285" s="0" t="str">
        <f aca="false">IF(L285=1,N285,"")</f>
        <v/>
      </c>
      <c r="N285" s="0" t="n">
        <f aca="false">N284+L285</f>
        <v>2</v>
      </c>
      <c r="P285" s="0" t="n">
        <f aca="false">IF(AND(Comments!B283='Policy card'!$C$3,Comments!N283="Closed"),1,0)</f>
        <v>0</v>
      </c>
      <c r="Q285" s="0" t="n">
        <f aca="false">Q284+P285</f>
        <v>7</v>
      </c>
    </row>
    <row r="286" customFormat="false" ht="15" hidden="false" customHeight="false" outlineLevel="0" collapsed="false">
      <c r="C286" s="0" t="n">
        <f aca="false">IF(AND(Comments!B284='Policy card'!$C$3,Comments!N284="Open"),1,0)</f>
        <v>0</v>
      </c>
      <c r="D286" s="0" t="str">
        <f aca="false">IF(C286=1,E286,IF(P286=1,$E$2003+Q286,""))</f>
        <v/>
      </c>
      <c r="E286" s="0" t="n">
        <f aca="false">E285+C286</f>
        <v>0</v>
      </c>
      <c r="L286" s="0" t="n">
        <f aca="false">IF(AND(Versions!B284&lt;&gt;"",Versions!B284='Policy card'!$C$3),1,0)</f>
        <v>0</v>
      </c>
      <c r="M286" s="0" t="str">
        <f aca="false">IF(L286=1,N286,"")</f>
        <v/>
      </c>
      <c r="N286" s="0" t="n">
        <f aca="false">N285+L286</f>
        <v>2</v>
      </c>
      <c r="P286" s="0" t="n">
        <f aca="false">IF(AND(Comments!B284='Policy card'!$C$3,Comments!N284="Closed"),1,0)</f>
        <v>0</v>
      </c>
      <c r="Q286" s="0" t="n">
        <f aca="false">Q285+P286</f>
        <v>7</v>
      </c>
    </row>
    <row r="287" customFormat="false" ht="15" hidden="false" customHeight="false" outlineLevel="0" collapsed="false">
      <c r="C287" s="0" t="n">
        <f aca="false">IF(AND(Comments!B285='Policy card'!$C$3,Comments!N285="Open"),1,0)</f>
        <v>0</v>
      </c>
      <c r="D287" s="0" t="str">
        <f aca="false">IF(C287=1,E287,IF(P287=1,$E$2003+Q287,""))</f>
        <v/>
      </c>
      <c r="E287" s="0" t="n">
        <f aca="false">E286+C287</f>
        <v>0</v>
      </c>
      <c r="L287" s="0" t="n">
        <f aca="false">IF(AND(Versions!B285&lt;&gt;"",Versions!B285='Policy card'!$C$3),1,0)</f>
        <v>0</v>
      </c>
      <c r="M287" s="0" t="str">
        <f aca="false">IF(L287=1,N287,"")</f>
        <v/>
      </c>
      <c r="N287" s="0" t="n">
        <f aca="false">N286+L287</f>
        <v>2</v>
      </c>
      <c r="P287" s="0" t="n">
        <f aca="false">IF(AND(Comments!B285='Policy card'!$C$3,Comments!N285="Closed"),1,0)</f>
        <v>0</v>
      </c>
      <c r="Q287" s="0" t="n">
        <f aca="false">Q286+P287</f>
        <v>7</v>
      </c>
    </row>
    <row r="288" customFormat="false" ht="15" hidden="false" customHeight="false" outlineLevel="0" collapsed="false">
      <c r="C288" s="0" t="n">
        <f aca="false">IF(AND(Comments!B286='Policy card'!$C$3,Comments!N286="Open"),1,0)</f>
        <v>0</v>
      </c>
      <c r="D288" s="0" t="str">
        <f aca="false">IF(C288=1,E288,IF(P288=1,$E$2003+Q288,""))</f>
        <v/>
      </c>
      <c r="E288" s="0" t="n">
        <f aca="false">E287+C288</f>
        <v>0</v>
      </c>
      <c r="L288" s="0" t="n">
        <f aca="false">IF(AND(Versions!B286&lt;&gt;"",Versions!B286='Policy card'!$C$3),1,0)</f>
        <v>0</v>
      </c>
      <c r="M288" s="0" t="str">
        <f aca="false">IF(L288=1,N288,"")</f>
        <v/>
      </c>
      <c r="N288" s="0" t="n">
        <f aca="false">N287+L288</f>
        <v>2</v>
      </c>
      <c r="P288" s="0" t="n">
        <f aca="false">IF(AND(Comments!B286='Policy card'!$C$3,Comments!N286="Closed"),1,0)</f>
        <v>0</v>
      </c>
      <c r="Q288" s="0" t="n">
        <f aca="false">Q287+P288</f>
        <v>7</v>
      </c>
    </row>
    <row r="289" customFormat="false" ht="15" hidden="false" customHeight="false" outlineLevel="0" collapsed="false">
      <c r="C289" s="0" t="n">
        <f aca="false">IF(AND(Comments!B287='Policy card'!$C$3,Comments!N287="Open"),1,0)</f>
        <v>0</v>
      </c>
      <c r="D289" s="0" t="str">
        <f aca="false">IF(C289=1,E289,IF(P289=1,$E$2003+Q289,""))</f>
        <v/>
      </c>
      <c r="E289" s="0" t="n">
        <f aca="false">E288+C289</f>
        <v>0</v>
      </c>
      <c r="L289" s="0" t="n">
        <f aca="false">IF(AND(Versions!B287&lt;&gt;"",Versions!B287='Policy card'!$C$3),1,0)</f>
        <v>0</v>
      </c>
      <c r="M289" s="0" t="str">
        <f aca="false">IF(L289=1,N289,"")</f>
        <v/>
      </c>
      <c r="N289" s="0" t="n">
        <f aca="false">N288+L289</f>
        <v>2</v>
      </c>
      <c r="P289" s="0" t="n">
        <f aca="false">IF(AND(Comments!B287='Policy card'!$C$3,Comments!N287="Closed"),1,0)</f>
        <v>0</v>
      </c>
      <c r="Q289" s="0" t="n">
        <f aca="false">Q288+P289</f>
        <v>7</v>
      </c>
    </row>
    <row r="290" customFormat="false" ht="15" hidden="false" customHeight="false" outlineLevel="0" collapsed="false">
      <c r="C290" s="0" t="n">
        <f aca="false">IF(AND(Comments!B288='Policy card'!$C$3,Comments!N288="Open"),1,0)</f>
        <v>0</v>
      </c>
      <c r="D290" s="0" t="str">
        <f aca="false">IF(C290=1,E290,IF(P290=1,$E$2003+Q290,""))</f>
        <v/>
      </c>
      <c r="E290" s="0" t="n">
        <f aca="false">E289+C290</f>
        <v>0</v>
      </c>
      <c r="L290" s="0" t="n">
        <f aca="false">IF(AND(Versions!B288&lt;&gt;"",Versions!B288='Policy card'!$C$3),1,0)</f>
        <v>0</v>
      </c>
      <c r="M290" s="0" t="str">
        <f aca="false">IF(L290=1,N290,"")</f>
        <v/>
      </c>
      <c r="N290" s="0" t="n">
        <f aca="false">N289+L290</f>
        <v>2</v>
      </c>
      <c r="P290" s="0" t="n">
        <f aca="false">IF(AND(Comments!B288='Policy card'!$C$3,Comments!N288="Closed"),1,0)</f>
        <v>0</v>
      </c>
      <c r="Q290" s="0" t="n">
        <f aca="false">Q289+P290</f>
        <v>7</v>
      </c>
    </row>
    <row r="291" customFormat="false" ht="15" hidden="false" customHeight="false" outlineLevel="0" collapsed="false">
      <c r="C291" s="0" t="n">
        <f aca="false">IF(AND(Comments!B289='Policy card'!$C$3,Comments!N289="Open"),1,0)</f>
        <v>0</v>
      </c>
      <c r="D291" s="0" t="str">
        <f aca="false">IF(C291=1,E291,IF(P291=1,$E$2003+Q291,""))</f>
        <v/>
      </c>
      <c r="E291" s="0" t="n">
        <f aca="false">E290+C291</f>
        <v>0</v>
      </c>
      <c r="L291" s="0" t="n">
        <f aca="false">IF(AND(Versions!B289&lt;&gt;"",Versions!B289='Policy card'!$C$3),1,0)</f>
        <v>0</v>
      </c>
      <c r="M291" s="0" t="str">
        <f aca="false">IF(L291=1,N291,"")</f>
        <v/>
      </c>
      <c r="N291" s="0" t="n">
        <f aca="false">N290+L291</f>
        <v>2</v>
      </c>
      <c r="P291" s="0" t="n">
        <f aca="false">IF(AND(Comments!B289='Policy card'!$C$3,Comments!N289="Closed"),1,0)</f>
        <v>0</v>
      </c>
      <c r="Q291" s="0" t="n">
        <f aca="false">Q290+P291</f>
        <v>7</v>
      </c>
    </row>
    <row r="292" customFormat="false" ht="15" hidden="false" customHeight="false" outlineLevel="0" collapsed="false">
      <c r="C292" s="0" t="n">
        <f aca="false">IF(AND(Comments!B290='Policy card'!$C$3,Comments!N290="Open"),1,0)</f>
        <v>0</v>
      </c>
      <c r="D292" s="0" t="str">
        <f aca="false">IF(C292=1,E292,IF(P292=1,$E$2003+Q292,""))</f>
        <v/>
      </c>
      <c r="E292" s="0" t="n">
        <f aca="false">E291+C292</f>
        <v>0</v>
      </c>
      <c r="L292" s="0" t="n">
        <f aca="false">IF(AND(Versions!B290&lt;&gt;"",Versions!B290='Policy card'!$C$3),1,0)</f>
        <v>0</v>
      </c>
      <c r="M292" s="0" t="str">
        <f aca="false">IF(L292=1,N292,"")</f>
        <v/>
      </c>
      <c r="N292" s="0" t="n">
        <f aca="false">N291+L292</f>
        <v>2</v>
      </c>
      <c r="P292" s="0" t="n">
        <f aca="false">IF(AND(Comments!B290='Policy card'!$C$3,Comments!N290="Closed"),1,0)</f>
        <v>0</v>
      </c>
      <c r="Q292" s="0" t="n">
        <f aca="false">Q291+P292</f>
        <v>7</v>
      </c>
    </row>
    <row r="293" customFormat="false" ht="15" hidden="false" customHeight="false" outlineLevel="0" collapsed="false">
      <c r="C293" s="0" t="n">
        <f aca="false">IF(AND(Comments!B291='Policy card'!$C$3,Comments!N291="Open"),1,0)</f>
        <v>0</v>
      </c>
      <c r="D293" s="0" t="str">
        <f aca="false">IF(C293=1,E293,IF(P293=1,$E$2003+Q293,""))</f>
        <v/>
      </c>
      <c r="E293" s="0" t="n">
        <f aca="false">E292+C293</f>
        <v>0</v>
      </c>
      <c r="L293" s="0" t="n">
        <f aca="false">IF(AND(Versions!B291&lt;&gt;"",Versions!B291='Policy card'!$C$3),1,0)</f>
        <v>0</v>
      </c>
      <c r="M293" s="0" t="str">
        <f aca="false">IF(L293=1,N293,"")</f>
        <v/>
      </c>
      <c r="N293" s="0" t="n">
        <f aca="false">N292+L293</f>
        <v>2</v>
      </c>
      <c r="P293" s="0" t="n">
        <f aca="false">IF(AND(Comments!B291='Policy card'!$C$3,Comments!N291="Closed"),1,0)</f>
        <v>0</v>
      </c>
      <c r="Q293" s="0" t="n">
        <f aca="false">Q292+P293</f>
        <v>7</v>
      </c>
    </row>
    <row r="294" customFormat="false" ht="15" hidden="false" customHeight="false" outlineLevel="0" collapsed="false">
      <c r="C294" s="0" t="n">
        <f aca="false">IF(AND(Comments!B292='Policy card'!$C$3,Comments!N292="Open"),1,0)</f>
        <v>0</v>
      </c>
      <c r="D294" s="0" t="str">
        <f aca="false">IF(C294=1,E294,IF(P294=1,$E$2003+Q294,""))</f>
        <v/>
      </c>
      <c r="E294" s="0" t="n">
        <f aca="false">E293+C294</f>
        <v>0</v>
      </c>
      <c r="L294" s="0" t="n">
        <f aca="false">IF(AND(Versions!B292&lt;&gt;"",Versions!B292='Policy card'!$C$3),1,0)</f>
        <v>0</v>
      </c>
      <c r="M294" s="0" t="str">
        <f aca="false">IF(L294=1,N294,"")</f>
        <v/>
      </c>
      <c r="N294" s="0" t="n">
        <f aca="false">N293+L294</f>
        <v>2</v>
      </c>
      <c r="P294" s="0" t="n">
        <f aca="false">IF(AND(Comments!B292='Policy card'!$C$3,Comments!N292="Closed"),1,0)</f>
        <v>0</v>
      </c>
      <c r="Q294" s="0" t="n">
        <f aca="false">Q293+P294</f>
        <v>7</v>
      </c>
    </row>
    <row r="295" customFormat="false" ht="15" hidden="false" customHeight="false" outlineLevel="0" collapsed="false">
      <c r="C295" s="0" t="n">
        <f aca="false">IF(AND(Comments!B293='Policy card'!$C$3,Comments!N293="Open"),1,0)</f>
        <v>0</v>
      </c>
      <c r="D295" s="0" t="str">
        <f aca="false">IF(C295=1,E295,IF(P295=1,$E$2003+Q295,""))</f>
        <v/>
      </c>
      <c r="E295" s="0" t="n">
        <f aca="false">E294+C295</f>
        <v>0</v>
      </c>
      <c r="L295" s="0" t="n">
        <f aca="false">IF(AND(Versions!B293&lt;&gt;"",Versions!B293='Policy card'!$C$3),1,0)</f>
        <v>0</v>
      </c>
      <c r="M295" s="0" t="str">
        <f aca="false">IF(L295=1,N295,"")</f>
        <v/>
      </c>
      <c r="N295" s="0" t="n">
        <f aca="false">N294+L295</f>
        <v>2</v>
      </c>
      <c r="P295" s="0" t="n">
        <f aca="false">IF(AND(Comments!B293='Policy card'!$C$3,Comments!N293="Closed"),1,0)</f>
        <v>0</v>
      </c>
      <c r="Q295" s="0" t="n">
        <f aca="false">Q294+P295</f>
        <v>7</v>
      </c>
    </row>
    <row r="296" customFormat="false" ht="15" hidden="false" customHeight="false" outlineLevel="0" collapsed="false">
      <c r="C296" s="0" t="n">
        <f aca="false">IF(AND(Comments!B294='Policy card'!$C$3,Comments!N294="Open"),1,0)</f>
        <v>0</v>
      </c>
      <c r="D296" s="0" t="str">
        <f aca="false">IF(C296=1,E296,IF(P296=1,$E$2003+Q296,""))</f>
        <v/>
      </c>
      <c r="E296" s="0" t="n">
        <f aca="false">E295+C296</f>
        <v>0</v>
      </c>
      <c r="L296" s="0" t="n">
        <f aca="false">IF(AND(Versions!B294&lt;&gt;"",Versions!B294='Policy card'!$C$3),1,0)</f>
        <v>0</v>
      </c>
      <c r="M296" s="0" t="str">
        <f aca="false">IF(L296=1,N296,"")</f>
        <v/>
      </c>
      <c r="N296" s="0" t="n">
        <f aca="false">N295+L296</f>
        <v>2</v>
      </c>
      <c r="P296" s="0" t="n">
        <f aca="false">IF(AND(Comments!B294='Policy card'!$C$3,Comments!N294="Closed"),1,0)</f>
        <v>0</v>
      </c>
      <c r="Q296" s="0" t="n">
        <f aca="false">Q295+P296</f>
        <v>7</v>
      </c>
    </row>
    <row r="297" customFormat="false" ht="15" hidden="false" customHeight="false" outlineLevel="0" collapsed="false">
      <c r="C297" s="0" t="n">
        <f aca="false">IF(AND(Comments!B295='Policy card'!$C$3,Comments!N295="Open"),1,0)</f>
        <v>0</v>
      </c>
      <c r="D297" s="0" t="str">
        <f aca="false">IF(C297=1,E297,IF(P297=1,$E$2003+Q297,""))</f>
        <v/>
      </c>
      <c r="E297" s="0" t="n">
        <f aca="false">E296+C297</f>
        <v>0</v>
      </c>
      <c r="L297" s="0" t="n">
        <f aca="false">IF(AND(Versions!B295&lt;&gt;"",Versions!B295='Policy card'!$C$3),1,0)</f>
        <v>0</v>
      </c>
      <c r="M297" s="0" t="str">
        <f aca="false">IF(L297=1,N297,"")</f>
        <v/>
      </c>
      <c r="N297" s="0" t="n">
        <f aca="false">N296+L297</f>
        <v>2</v>
      </c>
      <c r="P297" s="0" t="n">
        <f aca="false">IF(AND(Comments!B295='Policy card'!$C$3,Comments!N295="Closed"),1,0)</f>
        <v>0</v>
      </c>
      <c r="Q297" s="0" t="n">
        <f aca="false">Q296+P297</f>
        <v>7</v>
      </c>
    </row>
    <row r="298" customFormat="false" ht="15" hidden="false" customHeight="false" outlineLevel="0" collapsed="false">
      <c r="C298" s="0" t="n">
        <f aca="false">IF(AND(Comments!B296='Policy card'!$C$3,Comments!N296="Open"),1,0)</f>
        <v>0</v>
      </c>
      <c r="D298" s="0" t="str">
        <f aca="false">IF(C298=1,E298,IF(P298=1,$E$2003+Q298,""))</f>
        <v/>
      </c>
      <c r="E298" s="0" t="n">
        <f aca="false">E297+C298</f>
        <v>0</v>
      </c>
      <c r="L298" s="0" t="n">
        <f aca="false">IF(AND(Versions!B296&lt;&gt;"",Versions!B296='Policy card'!$C$3),1,0)</f>
        <v>0</v>
      </c>
      <c r="M298" s="0" t="str">
        <f aca="false">IF(L298=1,N298,"")</f>
        <v/>
      </c>
      <c r="N298" s="0" t="n">
        <f aca="false">N297+L298</f>
        <v>2</v>
      </c>
      <c r="P298" s="0" t="n">
        <f aca="false">IF(AND(Comments!B296='Policy card'!$C$3,Comments!N296="Closed"),1,0)</f>
        <v>0</v>
      </c>
      <c r="Q298" s="0" t="n">
        <f aca="false">Q297+P298</f>
        <v>7</v>
      </c>
    </row>
    <row r="299" customFormat="false" ht="15" hidden="false" customHeight="false" outlineLevel="0" collapsed="false">
      <c r="C299" s="0" t="n">
        <f aca="false">IF(AND(Comments!B297='Policy card'!$C$3,Comments!N297="Open"),1,0)</f>
        <v>0</v>
      </c>
      <c r="D299" s="0" t="str">
        <f aca="false">IF(C299=1,E299,IF(P299=1,$E$2003+Q299,""))</f>
        <v/>
      </c>
      <c r="E299" s="0" t="n">
        <f aca="false">E298+C299</f>
        <v>0</v>
      </c>
      <c r="L299" s="0" t="n">
        <f aca="false">IF(AND(Versions!B297&lt;&gt;"",Versions!B297='Policy card'!$C$3),1,0)</f>
        <v>0</v>
      </c>
      <c r="M299" s="0" t="str">
        <f aca="false">IF(L299=1,N299,"")</f>
        <v/>
      </c>
      <c r="N299" s="0" t="n">
        <f aca="false">N298+L299</f>
        <v>2</v>
      </c>
      <c r="P299" s="0" t="n">
        <f aca="false">IF(AND(Comments!B297='Policy card'!$C$3,Comments!N297="Closed"),1,0)</f>
        <v>0</v>
      </c>
      <c r="Q299" s="0" t="n">
        <f aca="false">Q298+P299</f>
        <v>7</v>
      </c>
    </row>
    <row r="300" customFormat="false" ht="15" hidden="false" customHeight="false" outlineLevel="0" collapsed="false">
      <c r="C300" s="0" t="n">
        <f aca="false">IF(AND(Comments!B298='Policy card'!$C$3,Comments!N298="Open"),1,0)</f>
        <v>0</v>
      </c>
      <c r="D300" s="0" t="str">
        <f aca="false">IF(C300=1,E300,IF(P300=1,$E$2003+Q300,""))</f>
        <v/>
      </c>
      <c r="E300" s="0" t="n">
        <f aca="false">E299+C300</f>
        <v>0</v>
      </c>
      <c r="L300" s="0" t="n">
        <f aca="false">IF(AND(Versions!B298&lt;&gt;"",Versions!B298='Policy card'!$C$3),1,0)</f>
        <v>0</v>
      </c>
      <c r="M300" s="0" t="str">
        <f aca="false">IF(L300=1,N300,"")</f>
        <v/>
      </c>
      <c r="N300" s="0" t="n">
        <f aca="false">N299+L300</f>
        <v>2</v>
      </c>
      <c r="P300" s="0" t="n">
        <f aca="false">IF(AND(Comments!B298='Policy card'!$C$3,Comments!N298="Closed"),1,0)</f>
        <v>0</v>
      </c>
      <c r="Q300" s="0" t="n">
        <f aca="false">Q299+P300</f>
        <v>7</v>
      </c>
    </row>
    <row r="301" customFormat="false" ht="15" hidden="false" customHeight="false" outlineLevel="0" collapsed="false">
      <c r="C301" s="0" t="n">
        <f aca="false">IF(AND(Comments!B299='Policy card'!$C$3,Comments!N299="Open"),1,0)</f>
        <v>0</v>
      </c>
      <c r="D301" s="0" t="str">
        <f aca="false">IF(C301=1,E301,IF(P301=1,$E$2003+Q301,""))</f>
        <v/>
      </c>
      <c r="E301" s="0" t="n">
        <f aca="false">E300+C301</f>
        <v>0</v>
      </c>
      <c r="L301" s="0" t="n">
        <f aca="false">IF(AND(Versions!B299&lt;&gt;"",Versions!B299='Policy card'!$C$3),1,0)</f>
        <v>0</v>
      </c>
      <c r="M301" s="0" t="str">
        <f aca="false">IF(L301=1,N301,"")</f>
        <v/>
      </c>
      <c r="N301" s="0" t="n">
        <f aca="false">N300+L301</f>
        <v>2</v>
      </c>
      <c r="P301" s="0" t="n">
        <f aca="false">IF(AND(Comments!B299='Policy card'!$C$3,Comments!N299="Closed"),1,0)</f>
        <v>0</v>
      </c>
      <c r="Q301" s="0" t="n">
        <f aca="false">Q300+P301</f>
        <v>7</v>
      </c>
    </row>
    <row r="302" customFormat="false" ht="15" hidden="false" customHeight="false" outlineLevel="0" collapsed="false">
      <c r="C302" s="0" t="n">
        <f aca="false">IF(AND(Comments!B300='Policy card'!$C$3,Comments!N300="Open"),1,0)</f>
        <v>0</v>
      </c>
      <c r="D302" s="0" t="str">
        <f aca="false">IF(C302=1,E302,IF(P302=1,$E$2003+Q302,""))</f>
        <v/>
      </c>
      <c r="E302" s="0" t="n">
        <f aca="false">E301+C302</f>
        <v>0</v>
      </c>
      <c r="L302" s="0" t="n">
        <f aca="false">IF(AND(Versions!B300&lt;&gt;"",Versions!B300='Policy card'!$C$3),1,0)</f>
        <v>0</v>
      </c>
      <c r="M302" s="0" t="str">
        <f aca="false">IF(L302=1,N302,"")</f>
        <v/>
      </c>
      <c r="N302" s="0" t="n">
        <f aca="false">N301+L302</f>
        <v>2</v>
      </c>
      <c r="P302" s="0" t="n">
        <f aca="false">IF(AND(Comments!B300='Policy card'!$C$3,Comments!N300="Closed"),1,0)</f>
        <v>0</v>
      </c>
      <c r="Q302" s="0" t="n">
        <f aca="false">Q301+P302</f>
        <v>7</v>
      </c>
    </row>
    <row r="303" customFormat="false" ht="15" hidden="false" customHeight="false" outlineLevel="0" collapsed="false">
      <c r="C303" s="0" t="n">
        <f aca="false">IF(AND(Comments!B301='Policy card'!$C$3,Comments!N301="Open"),1,0)</f>
        <v>0</v>
      </c>
      <c r="D303" s="0" t="str">
        <f aca="false">IF(C303=1,E303,IF(P303=1,$E$2003+Q303,""))</f>
        <v/>
      </c>
      <c r="E303" s="0" t="n">
        <f aca="false">E302+C303</f>
        <v>0</v>
      </c>
      <c r="L303" s="0" t="n">
        <f aca="false">IF(AND(Versions!B301&lt;&gt;"",Versions!B301='Policy card'!$C$3),1,0)</f>
        <v>0</v>
      </c>
      <c r="M303" s="0" t="str">
        <f aca="false">IF(L303=1,N303,"")</f>
        <v/>
      </c>
      <c r="N303" s="0" t="n">
        <f aca="false">N302+L303</f>
        <v>2</v>
      </c>
      <c r="P303" s="0" t="n">
        <f aca="false">IF(AND(Comments!B301='Policy card'!$C$3,Comments!N301="Closed"),1,0)</f>
        <v>0</v>
      </c>
      <c r="Q303" s="0" t="n">
        <f aca="false">Q302+P303</f>
        <v>7</v>
      </c>
    </row>
    <row r="304" customFormat="false" ht="15" hidden="false" customHeight="false" outlineLevel="0" collapsed="false">
      <c r="C304" s="0" t="n">
        <f aca="false">IF(AND(Comments!B302='Policy card'!$C$3,Comments!N302="Open"),1,0)</f>
        <v>0</v>
      </c>
      <c r="D304" s="0" t="str">
        <f aca="false">IF(C304=1,E304,IF(P304=1,$E$2003+Q304,""))</f>
        <v/>
      </c>
      <c r="E304" s="0" t="n">
        <f aca="false">E303+C304</f>
        <v>0</v>
      </c>
      <c r="L304" s="0" t="n">
        <f aca="false">IF(AND(Versions!B302&lt;&gt;"",Versions!B302='Policy card'!$C$3),1,0)</f>
        <v>0</v>
      </c>
      <c r="M304" s="0" t="str">
        <f aca="false">IF(L304=1,N304,"")</f>
        <v/>
      </c>
      <c r="N304" s="0" t="n">
        <f aca="false">N303+L304</f>
        <v>2</v>
      </c>
      <c r="P304" s="0" t="n">
        <f aca="false">IF(AND(Comments!B302='Policy card'!$C$3,Comments!N302="Closed"),1,0)</f>
        <v>0</v>
      </c>
      <c r="Q304" s="0" t="n">
        <f aca="false">Q303+P304</f>
        <v>7</v>
      </c>
    </row>
    <row r="305" customFormat="false" ht="15" hidden="false" customHeight="false" outlineLevel="0" collapsed="false">
      <c r="C305" s="0" t="n">
        <f aca="false">IF(AND(Comments!B303='Policy card'!$C$3,Comments!N303="Open"),1,0)</f>
        <v>0</v>
      </c>
      <c r="D305" s="0" t="str">
        <f aca="false">IF(C305=1,E305,IF(P305=1,$E$2003+Q305,""))</f>
        <v/>
      </c>
      <c r="E305" s="0" t="n">
        <f aca="false">E304+C305</f>
        <v>0</v>
      </c>
      <c r="L305" s="0" t="n">
        <f aca="false">IF(AND(Versions!B303&lt;&gt;"",Versions!B303='Policy card'!$C$3),1,0)</f>
        <v>0</v>
      </c>
      <c r="M305" s="0" t="str">
        <f aca="false">IF(L305=1,N305,"")</f>
        <v/>
      </c>
      <c r="N305" s="0" t="n">
        <f aca="false">N304+L305</f>
        <v>2</v>
      </c>
      <c r="P305" s="0" t="n">
        <f aca="false">IF(AND(Comments!B303='Policy card'!$C$3,Comments!N303="Closed"),1,0)</f>
        <v>0</v>
      </c>
      <c r="Q305" s="0" t="n">
        <f aca="false">Q304+P305</f>
        <v>7</v>
      </c>
    </row>
    <row r="306" customFormat="false" ht="15" hidden="false" customHeight="false" outlineLevel="0" collapsed="false">
      <c r="C306" s="0" t="n">
        <f aca="false">IF(AND(Comments!B304='Policy card'!$C$3,Comments!N304="Open"),1,0)</f>
        <v>0</v>
      </c>
      <c r="D306" s="0" t="str">
        <f aca="false">IF(C306=1,E306,IF(P306=1,$E$2003+Q306,""))</f>
        <v/>
      </c>
      <c r="E306" s="0" t="n">
        <f aca="false">E305+C306</f>
        <v>0</v>
      </c>
      <c r="L306" s="0" t="n">
        <f aca="false">IF(AND(Versions!B304&lt;&gt;"",Versions!B304='Policy card'!$C$3),1,0)</f>
        <v>0</v>
      </c>
      <c r="M306" s="0" t="str">
        <f aca="false">IF(L306=1,N306,"")</f>
        <v/>
      </c>
      <c r="N306" s="0" t="n">
        <f aca="false">N305+L306</f>
        <v>2</v>
      </c>
      <c r="P306" s="0" t="n">
        <f aca="false">IF(AND(Comments!B304='Policy card'!$C$3,Comments!N304="Closed"),1,0)</f>
        <v>0</v>
      </c>
      <c r="Q306" s="0" t="n">
        <f aca="false">Q305+P306</f>
        <v>7</v>
      </c>
    </row>
    <row r="307" customFormat="false" ht="15" hidden="false" customHeight="false" outlineLevel="0" collapsed="false">
      <c r="C307" s="0" t="n">
        <f aca="false">IF(AND(Comments!B305='Policy card'!$C$3,Comments!N305="Open"),1,0)</f>
        <v>0</v>
      </c>
      <c r="D307" s="0" t="str">
        <f aca="false">IF(C307=1,E307,IF(P307=1,$E$2003+Q307,""))</f>
        <v/>
      </c>
      <c r="E307" s="0" t="n">
        <f aca="false">E306+C307</f>
        <v>0</v>
      </c>
      <c r="L307" s="0" t="n">
        <f aca="false">IF(AND(Versions!B305&lt;&gt;"",Versions!B305='Policy card'!$C$3),1,0)</f>
        <v>0</v>
      </c>
      <c r="M307" s="0" t="str">
        <f aca="false">IF(L307=1,N307,"")</f>
        <v/>
      </c>
      <c r="N307" s="0" t="n">
        <f aca="false">N306+L307</f>
        <v>2</v>
      </c>
      <c r="P307" s="0" t="n">
        <f aca="false">IF(AND(Comments!B305='Policy card'!$C$3,Comments!N305="Closed"),1,0)</f>
        <v>0</v>
      </c>
      <c r="Q307" s="0" t="n">
        <f aca="false">Q306+P307</f>
        <v>7</v>
      </c>
    </row>
    <row r="308" customFormat="false" ht="15" hidden="false" customHeight="false" outlineLevel="0" collapsed="false">
      <c r="C308" s="0" t="n">
        <f aca="false">IF(AND(Comments!B306='Policy card'!$C$3,Comments!N306="Open"),1,0)</f>
        <v>0</v>
      </c>
      <c r="D308" s="0" t="str">
        <f aca="false">IF(C308=1,E308,IF(P308=1,$E$2003+Q308,""))</f>
        <v/>
      </c>
      <c r="E308" s="0" t="n">
        <f aca="false">E307+C308</f>
        <v>0</v>
      </c>
      <c r="L308" s="0" t="n">
        <f aca="false">IF(AND(Versions!B306&lt;&gt;"",Versions!B306='Policy card'!$C$3),1,0)</f>
        <v>0</v>
      </c>
      <c r="M308" s="0" t="str">
        <f aca="false">IF(L308=1,N308,"")</f>
        <v/>
      </c>
      <c r="N308" s="0" t="n">
        <f aca="false">N307+L308</f>
        <v>2</v>
      </c>
      <c r="P308" s="0" t="n">
        <f aca="false">IF(AND(Comments!B306='Policy card'!$C$3,Comments!N306="Closed"),1,0)</f>
        <v>0</v>
      </c>
      <c r="Q308" s="0" t="n">
        <f aca="false">Q307+P308</f>
        <v>7</v>
      </c>
    </row>
    <row r="309" customFormat="false" ht="15" hidden="false" customHeight="false" outlineLevel="0" collapsed="false">
      <c r="C309" s="0" t="n">
        <f aca="false">IF(AND(Comments!B307='Policy card'!$C$3,Comments!N307="Open"),1,0)</f>
        <v>0</v>
      </c>
      <c r="D309" s="0" t="str">
        <f aca="false">IF(C309=1,E309,IF(P309=1,$E$2003+Q309,""))</f>
        <v/>
      </c>
      <c r="E309" s="0" t="n">
        <f aca="false">E308+C309</f>
        <v>0</v>
      </c>
      <c r="L309" s="0" t="n">
        <f aca="false">IF(AND(Versions!B307&lt;&gt;"",Versions!B307='Policy card'!$C$3),1,0)</f>
        <v>0</v>
      </c>
      <c r="M309" s="0" t="str">
        <f aca="false">IF(L309=1,N309,"")</f>
        <v/>
      </c>
      <c r="N309" s="0" t="n">
        <f aca="false">N308+L309</f>
        <v>2</v>
      </c>
      <c r="P309" s="0" t="n">
        <f aca="false">IF(AND(Comments!B307='Policy card'!$C$3,Comments!N307="Closed"),1,0)</f>
        <v>0</v>
      </c>
      <c r="Q309" s="0" t="n">
        <f aca="false">Q308+P309</f>
        <v>7</v>
      </c>
    </row>
    <row r="310" customFormat="false" ht="15" hidden="false" customHeight="false" outlineLevel="0" collapsed="false">
      <c r="C310" s="0" t="n">
        <f aca="false">IF(AND(Comments!B308='Policy card'!$C$3,Comments!N308="Open"),1,0)</f>
        <v>0</v>
      </c>
      <c r="D310" s="0" t="str">
        <f aca="false">IF(C310=1,E310,IF(P310=1,$E$2003+Q310,""))</f>
        <v/>
      </c>
      <c r="E310" s="0" t="n">
        <f aca="false">E309+C310</f>
        <v>0</v>
      </c>
      <c r="L310" s="0" t="n">
        <f aca="false">IF(AND(Versions!B308&lt;&gt;"",Versions!B308='Policy card'!$C$3),1,0)</f>
        <v>0</v>
      </c>
      <c r="M310" s="0" t="str">
        <f aca="false">IF(L310=1,N310,"")</f>
        <v/>
      </c>
      <c r="N310" s="0" t="n">
        <f aca="false">N309+L310</f>
        <v>2</v>
      </c>
      <c r="P310" s="0" t="n">
        <f aca="false">IF(AND(Comments!B308='Policy card'!$C$3,Comments!N308="Closed"),1,0)</f>
        <v>0</v>
      </c>
      <c r="Q310" s="0" t="n">
        <f aca="false">Q309+P310</f>
        <v>7</v>
      </c>
    </row>
    <row r="311" customFormat="false" ht="15" hidden="false" customHeight="false" outlineLevel="0" collapsed="false">
      <c r="C311" s="0" t="n">
        <f aca="false">IF(AND(Comments!B309='Policy card'!$C$3,Comments!N309="Open"),1,0)</f>
        <v>0</v>
      </c>
      <c r="D311" s="0" t="str">
        <f aca="false">IF(C311=1,E311,IF(P311=1,$E$2003+Q311,""))</f>
        <v/>
      </c>
      <c r="E311" s="0" t="n">
        <f aca="false">E310+C311</f>
        <v>0</v>
      </c>
      <c r="L311" s="0" t="n">
        <f aca="false">IF(AND(Versions!B309&lt;&gt;"",Versions!B309='Policy card'!$C$3),1,0)</f>
        <v>0</v>
      </c>
      <c r="M311" s="0" t="str">
        <f aca="false">IF(L311=1,N311,"")</f>
        <v/>
      </c>
      <c r="N311" s="0" t="n">
        <f aca="false">N310+L311</f>
        <v>2</v>
      </c>
      <c r="P311" s="0" t="n">
        <f aca="false">IF(AND(Comments!B309='Policy card'!$C$3,Comments!N309="Closed"),1,0)</f>
        <v>0</v>
      </c>
      <c r="Q311" s="0" t="n">
        <f aca="false">Q310+P311</f>
        <v>7</v>
      </c>
    </row>
    <row r="312" customFormat="false" ht="15" hidden="false" customHeight="false" outlineLevel="0" collapsed="false">
      <c r="C312" s="0" t="n">
        <f aca="false">IF(AND(Comments!B310='Policy card'!$C$3,Comments!N310="Open"),1,0)</f>
        <v>0</v>
      </c>
      <c r="D312" s="0" t="str">
        <f aca="false">IF(C312=1,E312,IF(P312=1,$E$2003+Q312,""))</f>
        <v/>
      </c>
      <c r="E312" s="0" t="n">
        <f aca="false">E311+C312</f>
        <v>0</v>
      </c>
      <c r="L312" s="0" t="n">
        <f aca="false">IF(AND(Versions!B310&lt;&gt;"",Versions!B310='Policy card'!$C$3),1,0)</f>
        <v>0</v>
      </c>
      <c r="M312" s="0" t="str">
        <f aca="false">IF(L312=1,N312,"")</f>
        <v/>
      </c>
      <c r="N312" s="0" t="n">
        <f aca="false">N311+L312</f>
        <v>2</v>
      </c>
      <c r="P312" s="0" t="n">
        <f aca="false">IF(AND(Comments!B310='Policy card'!$C$3,Comments!N310="Closed"),1,0)</f>
        <v>0</v>
      </c>
      <c r="Q312" s="0" t="n">
        <f aca="false">Q311+P312</f>
        <v>7</v>
      </c>
    </row>
    <row r="313" customFormat="false" ht="15" hidden="false" customHeight="false" outlineLevel="0" collapsed="false">
      <c r="C313" s="0" t="n">
        <f aca="false">IF(AND(Comments!B311='Policy card'!$C$3,Comments!N311="Open"),1,0)</f>
        <v>0</v>
      </c>
      <c r="D313" s="0" t="str">
        <f aca="false">IF(C313=1,E313,IF(P313=1,$E$2003+Q313,""))</f>
        <v/>
      </c>
      <c r="E313" s="0" t="n">
        <f aca="false">E312+C313</f>
        <v>0</v>
      </c>
      <c r="L313" s="0" t="n">
        <f aca="false">IF(AND(Versions!B311&lt;&gt;"",Versions!B311='Policy card'!$C$3),1,0)</f>
        <v>0</v>
      </c>
      <c r="M313" s="0" t="str">
        <f aca="false">IF(L313=1,N313,"")</f>
        <v/>
      </c>
      <c r="N313" s="0" t="n">
        <f aca="false">N312+L313</f>
        <v>2</v>
      </c>
      <c r="P313" s="0" t="n">
        <f aca="false">IF(AND(Comments!B311='Policy card'!$C$3,Comments!N311="Closed"),1,0)</f>
        <v>0</v>
      </c>
      <c r="Q313" s="0" t="n">
        <f aca="false">Q312+P313</f>
        <v>7</v>
      </c>
    </row>
    <row r="314" customFormat="false" ht="15" hidden="false" customHeight="false" outlineLevel="0" collapsed="false">
      <c r="C314" s="0" t="n">
        <f aca="false">IF(AND(Comments!B312='Policy card'!$C$3,Comments!N312="Open"),1,0)</f>
        <v>0</v>
      </c>
      <c r="D314" s="0" t="str">
        <f aca="false">IF(C314=1,E314,IF(P314=1,$E$2003+Q314,""))</f>
        <v/>
      </c>
      <c r="E314" s="0" t="n">
        <f aca="false">E313+C314</f>
        <v>0</v>
      </c>
      <c r="L314" s="0" t="n">
        <f aca="false">IF(AND(Versions!B312&lt;&gt;"",Versions!B312='Policy card'!$C$3),1,0)</f>
        <v>0</v>
      </c>
      <c r="M314" s="0" t="str">
        <f aca="false">IF(L314=1,N314,"")</f>
        <v/>
      </c>
      <c r="N314" s="0" t="n">
        <f aca="false">N313+L314</f>
        <v>2</v>
      </c>
      <c r="P314" s="0" t="n">
        <f aca="false">IF(AND(Comments!B312='Policy card'!$C$3,Comments!N312="Closed"),1,0)</f>
        <v>0</v>
      </c>
      <c r="Q314" s="0" t="n">
        <f aca="false">Q313+P314</f>
        <v>7</v>
      </c>
    </row>
    <row r="315" customFormat="false" ht="15" hidden="false" customHeight="false" outlineLevel="0" collapsed="false">
      <c r="C315" s="0" t="n">
        <f aca="false">IF(AND(Comments!B313='Policy card'!$C$3,Comments!N313="Open"),1,0)</f>
        <v>0</v>
      </c>
      <c r="D315" s="0" t="str">
        <f aca="false">IF(C315=1,E315,IF(P315=1,$E$2003+Q315,""))</f>
        <v/>
      </c>
      <c r="E315" s="0" t="n">
        <f aca="false">E314+C315</f>
        <v>0</v>
      </c>
      <c r="L315" s="0" t="n">
        <f aca="false">IF(AND(Versions!B313&lt;&gt;"",Versions!B313='Policy card'!$C$3),1,0)</f>
        <v>0</v>
      </c>
      <c r="M315" s="0" t="str">
        <f aca="false">IF(L315=1,N315,"")</f>
        <v/>
      </c>
      <c r="N315" s="0" t="n">
        <f aca="false">N314+L315</f>
        <v>2</v>
      </c>
      <c r="P315" s="0" t="n">
        <f aca="false">IF(AND(Comments!B313='Policy card'!$C$3,Comments!N313="Closed"),1,0)</f>
        <v>0</v>
      </c>
      <c r="Q315" s="0" t="n">
        <f aca="false">Q314+P315</f>
        <v>7</v>
      </c>
    </row>
    <row r="316" customFormat="false" ht="15" hidden="false" customHeight="false" outlineLevel="0" collapsed="false">
      <c r="C316" s="0" t="n">
        <f aca="false">IF(AND(Comments!B314='Policy card'!$C$3,Comments!N314="Open"),1,0)</f>
        <v>0</v>
      </c>
      <c r="D316" s="0" t="str">
        <f aca="false">IF(C316=1,E316,IF(P316=1,$E$2003+Q316,""))</f>
        <v/>
      </c>
      <c r="E316" s="0" t="n">
        <f aca="false">E315+C316</f>
        <v>0</v>
      </c>
      <c r="L316" s="0" t="n">
        <f aca="false">IF(AND(Versions!B314&lt;&gt;"",Versions!B314='Policy card'!$C$3),1,0)</f>
        <v>0</v>
      </c>
      <c r="M316" s="0" t="str">
        <f aca="false">IF(L316=1,N316,"")</f>
        <v/>
      </c>
      <c r="N316" s="0" t="n">
        <f aca="false">N315+L316</f>
        <v>2</v>
      </c>
      <c r="P316" s="0" t="n">
        <f aca="false">IF(AND(Comments!B314='Policy card'!$C$3,Comments!N314="Closed"),1,0)</f>
        <v>0</v>
      </c>
      <c r="Q316" s="0" t="n">
        <f aca="false">Q315+P316</f>
        <v>7</v>
      </c>
    </row>
    <row r="317" customFormat="false" ht="15" hidden="false" customHeight="false" outlineLevel="0" collapsed="false">
      <c r="C317" s="0" t="n">
        <f aca="false">IF(AND(Comments!B315='Policy card'!$C$3,Comments!N315="Open"),1,0)</f>
        <v>0</v>
      </c>
      <c r="D317" s="0" t="str">
        <f aca="false">IF(C317=1,E317,IF(P317=1,$E$2003+Q317,""))</f>
        <v/>
      </c>
      <c r="E317" s="0" t="n">
        <f aca="false">E316+C317</f>
        <v>0</v>
      </c>
      <c r="L317" s="0" t="n">
        <f aca="false">IF(AND(Versions!B315&lt;&gt;"",Versions!B315='Policy card'!$C$3),1,0)</f>
        <v>0</v>
      </c>
      <c r="M317" s="0" t="str">
        <f aca="false">IF(L317=1,N317,"")</f>
        <v/>
      </c>
      <c r="N317" s="0" t="n">
        <f aca="false">N316+L317</f>
        <v>2</v>
      </c>
      <c r="P317" s="0" t="n">
        <f aca="false">IF(AND(Comments!B315='Policy card'!$C$3,Comments!N315="Closed"),1,0)</f>
        <v>0</v>
      </c>
      <c r="Q317" s="0" t="n">
        <f aca="false">Q316+P317</f>
        <v>7</v>
      </c>
    </row>
    <row r="318" customFormat="false" ht="15" hidden="false" customHeight="false" outlineLevel="0" collapsed="false">
      <c r="C318" s="0" t="n">
        <f aca="false">IF(AND(Comments!B316='Policy card'!$C$3,Comments!N316="Open"),1,0)</f>
        <v>0</v>
      </c>
      <c r="D318" s="0" t="str">
        <f aca="false">IF(C318=1,E318,IF(P318=1,$E$2003+Q318,""))</f>
        <v/>
      </c>
      <c r="E318" s="0" t="n">
        <f aca="false">E317+C318</f>
        <v>0</v>
      </c>
      <c r="L318" s="0" t="n">
        <f aca="false">IF(AND(Versions!B316&lt;&gt;"",Versions!B316='Policy card'!$C$3),1,0)</f>
        <v>0</v>
      </c>
      <c r="M318" s="0" t="str">
        <f aca="false">IF(L318=1,N318,"")</f>
        <v/>
      </c>
      <c r="N318" s="0" t="n">
        <f aca="false">N317+L318</f>
        <v>2</v>
      </c>
      <c r="P318" s="0" t="n">
        <f aca="false">IF(AND(Comments!B316='Policy card'!$C$3,Comments!N316="Closed"),1,0)</f>
        <v>0</v>
      </c>
      <c r="Q318" s="0" t="n">
        <f aca="false">Q317+P318</f>
        <v>7</v>
      </c>
    </row>
    <row r="319" customFormat="false" ht="15" hidden="false" customHeight="false" outlineLevel="0" collapsed="false">
      <c r="C319" s="0" t="n">
        <f aca="false">IF(AND(Comments!B317='Policy card'!$C$3,Comments!N317="Open"),1,0)</f>
        <v>0</v>
      </c>
      <c r="D319" s="0" t="str">
        <f aca="false">IF(C319=1,E319,IF(P319=1,$E$2003+Q319,""))</f>
        <v/>
      </c>
      <c r="E319" s="0" t="n">
        <f aca="false">E318+C319</f>
        <v>0</v>
      </c>
      <c r="L319" s="0" t="n">
        <f aca="false">IF(AND(Versions!B317&lt;&gt;"",Versions!B317='Policy card'!$C$3),1,0)</f>
        <v>0</v>
      </c>
      <c r="M319" s="0" t="str">
        <f aca="false">IF(L319=1,N319,"")</f>
        <v/>
      </c>
      <c r="N319" s="0" t="n">
        <f aca="false">N318+L319</f>
        <v>2</v>
      </c>
      <c r="P319" s="0" t="n">
        <f aca="false">IF(AND(Comments!B317='Policy card'!$C$3,Comments!N317="Closed"),1,0)</f>
        <v>0</v>
      </c>
      <c r="Q319" s="0" t="n">
        <f aca="false">Q318+P319</f>
        <v>7</v>
      </c>
    </row>
    <row r="320" customFormat="false" ht="15" hidden="false" customHeight="false" outlineLevel="0" collapsed="false">
      <c r="C320" s="0" t="n">
        <f aca="false">IF(AND(Comments!B318='Policy card'!$C$3,Comments!N318="Open"),1,0)</f>
        <v>0</v>
      </c>
      <c r="D320" s="0" t="str">
        <f aca="false">IF(C320=1,E320,IF(P320=1,$E$2003+Q320,""))</f>
        <v/>
      </c>
      <c r="E320" s="0" t="n">
        <f aca="false">E319+C320</f>
        <v>0</v>
      </c>
      <c r="L320" s="0" t="n">
        <f aca="false">IF(AND(Versions!B318&lt;&gt;"",Versions!B318='Policy card'!$C$3),1,0)</f>
        <v>0</v>
      </c>
      <c r="M320" s="0" t="str">
        <f aca="false">IF(L320=1,N320,"")</f>
        <v/>
      </c>
      <c r="N320" s="0" t="n">
        <f aca="false">N319+L320</f>
        <v>2</v>
      </c>
      <c r="P320" s="0" t="n">
        <f aca="false">IF(AND(Comments!B318='Policy card'!$C$3,Comments!N318="Closed"),1,0)</f>
        <v>0</v>
      </c>
      <c r="Q320" s="0" t="n">
        <f aca="false">Q319+P320</f>
        <v>7</v>
      </c>
    </row>
    <row r="321" customFormat="false" ht="15" hidden="false" customHeight="false" outlineLevel="0" collapsed="false">
      <c r="C321" s="0" t="n">
        <f aca="false">IF(AND(Comments!B319='Policy card'!$C$3,Comments!N319="Open"),1,0)</f>
        <v>0</v>
      </c>
      <c r="D321" s="0" t="str">
        <f aca="false">IF(C321=1,E321,IF(P321=1,$E$2003+Q321,""))</f>
        <v/>
      </c>
      <c r="E321" s="0" t="n">
        <f aca="false">E320+C321</f>
        <v>0</v>
      </c>
      <c r="L321" s="0" t="n">
        <f aca="false">IF(AND(Versions!B319&lt;&gt;"",Versions!B319='Policy card'!$C$3),1,0)</f>
        <v>0</v>
      </c>
      <c r="M321" s="0" t="str">
        <f aca="false">IF(L321=1,N321,"")</f>
        <v/>
      </c>
      <c r="N321" s="0" t="n">
        <f aca="false">N320+L321</f>
        <v>2</v>
      </c>
      <c r="P321" s="0" t="n">
        <f aca="false">IF(AND(Comments!B319='Policy card'!$C$3,Comments!N319="Closed"),1,0)</f>
        <v>0</v>
      </c>
      <c r="Q321" s="0" t="n">
        <f aca="false">Q320+P321</f>
        <v>7</v>
      </c>
    </row>
    <row r="322" customFormat="false" ht="15" hidden="false" customHeight="false" outlineLevel="0" collapsed="false">
      <c r="C322" s="0" t="n">
        <f aca="false">IF(AND(Comments!B320='Policy card'!$C$3,Comments!N320="Open"),1,0)</f>
        <v>0</v>
      </c>
      <c r="D322" s="0" t="str">
        <f aca="false">IF(C322=1,E322,IF(P322=1,$E$2003+Q322,""))</f>
        <v/>
      </c>
      <c r="E322" s="0" t="n">
        <f aca="false">E321+C322</f>
        <v>0</v>
      </c>
      <c r="L322" s="0" t="n">
        <f aca="false">IF(AND(Versions!B320&lt;&gt;"",Versions!B320='Policy card'!$C$3),1,0)</f>
        <v>0</v>
      </c>
      <c r="M322" s="0" t="str">
        <f aca="false">IF(L322=1,N322,"")</f>
        <v/>
      </c>
      <c r="N322" s="0" t="n">
        <f aca="false">N321+L322</f>
        <v>2</v>
      </c>
      <c r="P322" s="0" t="n">
        <f aca="false">IF(AND(Comments!B320='Policy card'!$C$3,Comments!N320="Closed"),1,0)</f>
        <v>0</v>
      </c>
      <c r="Q322" s="0" t="n">
        <f aca="false">Q321+P322</f>
        <v>7</v>
      </c>
    </row>
    <row r="323" customFormat="false" ht="15" hidden="false" customHeight="false" outlineLevel="0" collapsed="false">
      <c r="C323" s="0" t="n">
        <f aca="false">IF(AND(Comments!B321='Policy card'!$C$3,Comments!N321="Open"),1,0)</f>
        <v>0</v>
      </c>
      <c r="D323" s="0" t="str">
        <f aca="false">IF(C323=1,E323,IF(P323=1,$E$2003+Q323,""))</f>
        <v/>
      </c>
      <c r="E323" s="0" t="n">
        <f aca="false">E322+C323</f>
        <v>0</v>
      </c>
      <c r="L323" s="0" t="n">
        <f aca="false">IF(AND(Versions!B321&lt;&gt;"",Versions!B321='Policy card'!$C$3),1,0)</f>
        <v>0</v>
      </c>
      <c r="M323" s="0" t="str">
        <f aca="false">IF(L323=1,N323,"")</f>
        <v/>
      </c>
      <c r="N323" s="0" t="n">
        <f aca="false">N322+L323</f>
        <v>2</v>
      </c>
      <c r="P323" s="0" t="n">
        <f aca="false">IF(AND(Comments!B321='Policy card'!$C$3,Comments!N321="Closed"),1,0)</f>
        <v>0</v>
      </c>
      <c r="Q323" s="0" t="n">
        <f aca="false">Q322+P323</f>
        <v>7</v>
      </c>
    </row>
    <row r="324" customFormat="false" ht="15" hidden="false" customHeight="false" outlineLevel="0" collapsed="false">
      <c r="C324" s="0" t="n">
        <f aca="false">IF(AND(Comments!B322='Policy card'!$C$3,Comments!N322="Open"),1,0)</f>
        <v>0</v>
      </c>
      <c r="D324" s="0" t="str">
        <f aca="false">IF(C324=1,E324,IF(P324=1,$E$2003+Q324,""))</f>
        <v/>
      </c>
      <c r="E324" s="0" t="n">
        <f aca="false">E323+C324</f>
        <v>0</v>
      </c>
      <c r="L324" s="0" t="n">
        <f aca="false">IF(AND(Versions!B322&lt;&gt;"",Versions!B322='Policy card'!$C$3),1,0)</f>
        <v>0</v>
      </c>
      <c r="M324" s="0" t="str">
        <f aca="false">IF(L324=1,N324,"")</f>
        <v/>
      </c>
      <c r="N324" s="0" t="n">
        <f aca="false">N323+L324</f>
        <v>2</v>
      </c>
      <c r="P324" s="0" t="n">
        <f aca="false">IF(AND(Comments!B322='Policy card'!$C$3,Comments!N322="Closed"),1,0)</f>
        <v>0</v>
      </c>
      <c r="Q324" s="0" t="n">
        <f aca="false">Q323+P324</f>
        <v>7</v>
      </c>
    </row>
    <row r="325" customFormat="false" ht="15" hidden="false" customHeight="false" outlineLevel="0" collapsed="false">
      <c r="C325" s="0" t="n">
        <f aca="false">IF(AND(Comments!B323='Policy card'!$C$3,Comments!N323="Open"),1,0)</f>
        <v>0</v>
      </c>
      <c r="D325" s="0" t="str">
        <f aca="false">IF(C325=1,E325,IF(P325=1,$E$2003+Q325,""))</f>
        <v/>
      </c>
      <c r="E325" s="0" t="n">
        <f aca="false">E324+C325</f>
        <v>0</v>
      </c>
      <c r="L325" s="0" t="n">
        <f aca="false">IF(AND(Versions!B323&lt;&gt;"",Versions!B323='Policy card'!$C$3),1,0)</f>
        <v>0</v>
      </c>
      <c r="M325" s="0" t="str">
        <f aca="false">IF(L325=1,N325,"")</f>
        <v/>
      </c>
      <c r="N325" s="0" t="n">
        <f aca="false">N324+L325</f>
        <v>2</v>
      </c>
      <c r="P325" s="0" t="n">
        <f aca="false">IF(AND(Comments!B323='Policy card'!$C$3,Comments!N323="Closed"),1,0)</f>
        <v>0</v>
      </c>
      <c r="Q325" s="0" t="n">
        <f aca="false">Q324+P325</f>
        <v>7</v>
      </c>
    </row>
    <row r="326" customFormat="false" ht="15" hidden="false" customHeight="false" outlineLevel="0" collapsed="false">
      <c r="C326" s="0" t="n">
        <f aca="false">IF(AND(Comments!B324='Policy card'!$C$3,Comments!N324="Open"),1,0)</f>
        <v>0</v>
      </c>
      <c r="D326" s="0" t="str">
        <f aca="false">IF(C326=1,E326,IF(P326=1,$E$2003+Q326,""))</f>
        <v/>
      </c>
      <c r="E326" s="0" t="n">
        <f aca="false">E325+C326</f>
        <v>0</v>
      </c>
      <c r="L326" s="0" t="n">
        <f aca="false">IF(AND(Versions!B324&lt;&gt;"",Versions!B324='Policy card'!$C$3),1,0)</f>
        <v>0</v>
      </c>
      <c r="M326" s="0" t="str">
        <f aca="false">IF(L326=1,N326,"")</f>
        <v/>
      </c>
      <c r="N326" s="0" t="n">
        <f aca="false">N325+L326</f>
        <v>2</v>
      </c>
      <c r="P326" s="0" t="n">
        <f aca="false">IF(AND(Comments!B324='Policy card'!$C$3,Comments!N324="Closed"),1,0)</f>
        <v>0</v>
      </c>
      <c r="Q326" s="0" t="n">
        <f aca="false">Q325+P326</f>
        <v>7</v>
      </c>
    </row>
    <row r="327" customFormat="false" ht="15" hidden="false" customHeight="false" outlineLevel="0" collapsed="false">
      <c r="C327" s="0" t="n">
        <f aca="false">IF(AND(Comments!B325='Policy card'!$C$3,Comments!N325="Open"),1,0)</f>
        <v>0</v>
      </c>
      <c r="D327" s="0" t="str">
        <f aca="false">IF(C327=1,E327,IF(P327=1,$E$2003+Q327,""))</f>
        <v/>
      </c>
      <c r="E327" s="0" t="n">
        <f aca="false">E326+C327</f>
        <v>0</v>
      </c>
      <c r="L327" s="0" t="n">
        <f aca="false">IF(AND(Versions!B325&lt;&gt;"",Versions!B325='Policy card'!$C$3),1,0)</f>
        <v>0</v>
      </c>
      <c r="M327" s="0" t="str">
        <f aca="false">IF(L327=1,N327,"")</f>
        <v/>
      </c>
      <c r="N327" s="0" t="n">
        <f aca="false">N326+L327</f>
        <v>2</v>
      </c>
      <c r="P327" s="0" t="n">
        <f aca="false">IF(AND(Comments!B325='Policy card'!$C$3,Comments!N325="Closed"),1,0)</f>
        <v>0</v>
      </c>
      <c r="Q327" s="0" t="n">
        <f aca="false">Q326+P327</f>
        <v>7</v>
      </c>
    </row>
    <row r="328" customFormat="false" ht="15" hidden="false" customHeight="false" outlineLevel="0" collapsed="false">
      <c r="C328" s="0" t="n">
        <f aca="false">IF(AND(Comments!B326='Policy card'!$C$3,Comments!N326="Open"),1,0)</f>
        <v>0</v>
      </c>
      <c r="D328" s="0" t="str">
        <f aca="false">IF(C328=1,E328,IF(P328=1,$E$2003+Q328,""))</f>
        <v/>
      </c>
      <c r="E328" s="0" t="n">
        <f aca="false">E327+C328</f>
        <v>0</v>
      </c>
      <c r="L328" s="0" t="n">
        <f aca="false">IF(AND(Versions!B326&lt;&gt;"",Versions!B326='Policy card'!$C$3),1,0)</f>
        <v>0</v>
      </c>
      <c r="M328" s="0" t="str">
        <f aca="false">IF(L328=1,N328,"")</f>
        <v/>
      </c>
      <c r="N328" s="0" t="n">
        <f aca="false">N327+L328</f>
        <v>2</v>
      </c>
      <c r="P328" s="0" t="n">
        <f aca="false">IF(AND(Comments!B326='Policy card'!$C$3,Comments!N326="Closed"),1,0)</f>
        <v>0</v>
      </c>
      <c r="Q328" s="0" t="n">
        <f aca="false">Q327+P328</f>
        <v>7</v>
      </c>
    </row>
    <row r="329" customFormat="false" ht="15" hidden="false" customHeight="false" outlineLevel="0" collapsed="false">
      <c r="C329" s="0" t="n">
        <f aca="false">IF(AND(Comments!B327='Policy card'!$C$3,Comments!N327="Open"),1,0)</f>
        <v>0</v>
      </c>
      <c r="D329" s="0" t="str">
        <f aca="false">IF(C329=1,E329,IF(P329=1,$E$2003+Q329,""))</f>
        <v/>
      </c>
      <c r="E329" s="0" t="n">
        <f aca="false">E328+C329</f>
        <v>0</v>
      </c>
      <c r="L329" s="0" t="n">
        <f aca="false">IF(AND(Versions!B327&lt;&gt;"",Versions!B327='Policy card'!$C$3),1,0)</f>
        <v>0</v>
      </c>
      <c r="M329" s="0" t="str">
        <f aca="false">IF(L329=1,N329,"")</f>
        <v/>
      </c>
      <c r="N329" s="0" t="n">
        <f aca="false">N328+L329</f>
        <v>2</v>
      </c>
      <c r="P329" s="0" t="n">
        <f aca="false">IF(AND(Comments!B327='Policy card'!$C$3,Comments!N327="Closed"),1,0)</f>
        <v>0</v>
      </c>
      <c r="Q329" s="0" t="n">
        <f aca="false">Q328+P329</f>
        <v>7</v>
      </c>
    </row>
    <row r="330" customFormat="false" ht="15" hidden="false" customHeight="false" outlineLevel="0" collapsed="false">
      <c r="C330" s="0" t="n">
        <f aca="false">IF(AND(Comments!B328='Policy card'!$C$3,Comments!N328="Open"),1,0)</f>
        <v>0</v>
      </c>
      <c r="D330" s="0" t="str">
        <f aca="false">IF(C330=1,E330,IF(P330=1,$E$2003+Q330,""))</f>
        <v/>
      </c>
      <c r="E330" s="0" t="n">
        <f aca="false">E329+C330</f>
        <v>0</v>
      </c>
      <c r="L330" s="0" t="n">
        <f aca="false">IF(AND(Versions!B328&lt;&gt;"",Versions!B328='Policy card'!$C$3),1,0)</f>
        <v>0</v>
      </c>
      <c r="M330" s="0" t="str">
        <f aca="false">IF(L330=1,N330,"")</f>
        <v/>
      </c>
      <c r="N330" s="0" t="n">
        <f aca="false">N329+L330</f>
        <v>2</v>
      </c>
      <c r="P330" s="0" t="n">
        <f aca="false">IF(AND(Comments!B328='Policy card'!$C$3,Comments!N328="Closed"),1,0)</f>
        <v>0</v>
      </c>
      <c r="Q330" s="0" t="n">
        <f aca="false">Q329+P330</f>
        <v>7</v>
      </c>
    </row>
    <row r="331" customFormat="false" ht="15" hidden="false" customHeight="false" outlineLevel="0" collapsed="false">
      <c r="C331" s="0" t="n">
        <f aca="false">IF(AND(Comments!B329='Policy card'!$C$3,Comments!N329="Open"),1,0)</f>
        <v>0</v>
      </c>
      <c r="D331" s="0" t="str">
        <f aca="false">IF(C331=1,E331,IF(P331=1,$E$2003+Q331,""))</f>
        <v/>
      </c>
      <c r="E331" s="0" t="n">
        <f aca="false">E330+C331</f>
        <v>0</v>
      </c>
      <c r="L331" s="0" t="n">
        <f aca="false">IF(AND(Versions!B329&lt;&gt;"",Versions!B329='Policy card'!$C$3),1,0)</f>
        <v>0</v>
      </c>
      <c r="M331" s="0" t="str">
        <f aca="false">IF(L331=1,N331,"")</f>
        <v/>
      </c>
      <c r="N331" s="0" t="n">
        <f aca="false">N330+L331</f>
        <v>2</v>
      </c>
      <c r="P331" s="0" t="n">
        <f aca="false">IF(AND(Comments!B329='Policy card'!$C$3,Comments!N329="Closed"),1,0)</f>
        <v>0</v>
      </c>
      <c r="Q331" s="0" t="n">
        <f aca="false">Q330+P331</f>
        <v>7</v>
      </c>
    </row>
    <row r="332" customFormat="false" ht="15" hidden="false" customHeight="false" outlineLevel="0" collapsed="false">
      <c r="C332" s="0" t="n">
        <f aca="false">IF(AND(Comments!B330='Policy card'!$C$3,Comments!N330="Open"),1,0)</f>
        <v>0</v>
      </c>
      <c r="D332" s="0" t="str">
        <f aca="false">IF(C332=1,E332,IF(P332=1,$E$2003+Q332,""))</f>
        <v/>
      </c>
      <c r="E332" s="0" t="n">
        <f aca="false">E331+C332</f>
        <v>0</v>
      </c>
      <c r="L332" s="0" t="n">
        <f aca="false">IF(AND(Versions!B330&lt;&gt;"",Versions!B330='Policy card'!$C$3),1,0)</f>
        <v>0</v>
      </c>
      <c r="M332" s="0" t="str">
        <f aca="false">IF(L332=1,N332,"")</f>
        <v/>
      </c>
      <c r="N332" s="0" t="n">
        <f aca="false">N331+L332</f>
        <v>2</v>
      </c>
      <c r="P332" s="0" t="n">
        <f aca="false">IF(AND(Comments!B330='Policy card'!$C$3,Comments!N330="Closed"),1,0)</f>
        <v>0</v>
      </c>
      <c r="Q332" s="0" t="n">
        <f aca="false">Q331+P332</f>
        <v>7</v>
      </c>
    </row>
    <row r="333" customFormat="false" ht="15" hidden="false" customHeight="false" outlineLevel="0" collapsed="false">
      <c r="C333" s="0" t="n">
        <f aca="false">IF(AND(Comments!B331='Policy card'!$C$3,Comments!N331="Open"),1,0)</f>
        <v>0</v>
      </c>
      <c r="D333" s="0" t="str">
        <f aca="false">IF(C333=1,E333,IF(P333=1,$E$2003+Q333,""))</f>
        <v/>
      </c>
      <c r="E333" s="0" t="n">
        <f aca="false">E332+C333</f>
        <v>0</v>
      </c>
      <c r="L333" s="0" t="n">
        <f aca="false">IF(AND(Versions!B331&lt;&gt;"",Versions!B331='Policy card'!$C$3),1,0)</f>
        <v>0</v>
      </c>
      <c r="M333" s="0" t="str">
        <f aca="false">IF(L333=1,N333,"")</f>
        <v/>
      </c>
      <c r="N333" s="0" t="n">
        <f aca="false">N332+L333</f>
        <v>2</v>
      </c>
      <c r="P333" s="0" t="n">
        <f aca="false">IF(AND(Comments!B331='Policy card'!$C$3,Comments!N331="Closed"),1,0)</f>
        <v>0</v>
      </c>
      <c r="Q333" s="0" t="n">
        <f aca="false">Q332+P333</f>
        <v>7</v>
      </c>
    </row>
    <row r="334" customFormat="false" ht="15" hidden="false" customHeight="false" outlineLevel="0" collapsed="false">
      <c r="C334" s="0" t="n">
        <f aca="false">IF(AND(Comments!B332='Policy card'!$C$3,Comments!N332="Open"),1,0)</f>
        <v>0</v>
      </c>
      <c r="D334" s="0" t="str">
        <f aca="false">IF(C334=1,E334,IF(P334=1,$E$2003+Q334,""))</f>
        <v/>
      </c>
      <c r="E334" s="0" t="n">
        <f aca="false">E333+C334</f>
        <v>0</v>
      </c>
      <c r="L334" s="0" t="n">
        <f aca="false">IF(AND(Versions!B332&lt;&gt;"",Versions!B332='Policy card'!$C$3),1,0)</f>
        <v>0</v>
      </c>
      <c r="M334" s="0" t="str">
        <f aca="false">IF(L334=1,N334,"")</f>
        <v/>
      </c>
      <c r="N334" s="0" t="n">
        <f aca="false">N333+L334</f>
        <v>2</v>
      </c>
      <c r="P334" s="0" t="n">
        <f aca="false">IF(AND(Comments!B332='Policy card'!$C$3,Comments!N332="Closed"),1,0)</f>
        <v>0</v>
      </c>
      <c r="Q334" s="0" t="n">
        <f aca="false">Q333+P334</f>
        <v>7</v>
      </c>
    </row>
    <row r="335" customFormat="false" ht="15" hidden="false" customHeight="false" outlineLevel="0" collapsed="false">
      <c r="C335" s="0" t="n">
        <f aca="false">IF(AND(Comments!B333='Policy card'!$C$3,Comments!N333="Open"),1,0)</f>
        <v>0</v>
      </c>
      <c r="D335" s="0" t="str">
        <f aca="false">IF(C335=1,E335,IF(P335=1,$E$2003+Q335,""))</f>
        <v/>
      </c>
      <c r="E335" s="0" t="n">
        <f aca="false">E334+C335</f>
        <v>0</v>
      </c>
      <c r="L335" s="0" t="n">
        <f aca="false">IF(AND(Versions!B333&lt;&gt;"",Versions!B333='Policy card'!$C$3),1,0)</f>
        <v>0</v>
      </c>
      <c r="M335" s="0" t="str">
        <f aca="false">IF(L335=1,N335,"")</f>
        <v/>
      </c>
      <c r="N335" s="0" t="n">
        <f aca="false">N334+L335</f>
        <v>2</v>
      </c>
      <c r="P335" s="0" t="n">
        <f aca="false">IF(AND(Comments!B333='Policy card'!$C$3,Comments!N333="Closed"),1,0)</f>
        <v>0</v>
      </c>
      <c r="Q335" s="0" t="n">
        <f aca="false">Q334+P335</f>
        <v>7</v>
      </c>
    </row>
    <row r="336" customFormat="false" ht="15" hidden="false" customHeight="false" outlineLevel="0" collapsed="false">
      <c r="C336" s="0" t="n">
        <f aca="false">IF(AND(Comments!B334='Policy card'!$C$3,Comments!N334="Open"),1,0)</f>
        <v>0</v>
      </c>
      <c r="D336" s="0" t="str">
        <f aca="false">IF(C336=1,E336,IF(P336=1,$E$2003+Q336,""))</f>
        <v/>
      </c>
      <c r="E336" s="0" t="n">
        <f aca="false">E335+C336</f>
        <v>0</v>
      </c>
      <c r="L336" s="0" t="n">
        <f aca="false">IF(AND(Versions!B334&lt;&gt;"",Versions!B334='Policy card'!$C$3),1,0)</f>
        <v>0</v>
      </c>
      <c r="M336" s="0" t="str">
        <f aca="false">IF(L336=1,N336,"")</f>
        <v/>
      </c>
      <c r="N336" s="0" t="n">
        <f aca="false">N335+L336</f>
        <v>2</v>
      </c>
      <c r="P336" s="0" t="n">
        <f aca="false">IF(AND(Comments!B334='Policy card'!$C$3,Comments!N334="Closed"),1,0)</f>
        <v>0</v>
      </c>
      <c r="Q336" s="0" t="n">
        <f aca="false">Q335+P336</f>
        <v>7</v>
      </c>
    </row>
    <row r="337" customFormat="false" ht="15" hidden="false" customHeight="false" outlineLevel="0" collapsed="false">
      <c r="C337" s="0" t="n">
        <f aca="false">IF(AND(Comments!B335='Policy card'!$C$3,Comments!N335="Open"),1,0)</f>
        <v>0</v>
      </c>
      <c r="D337" s="0" t="str">
        <f aca="false">IF(C337=1,E337,IF(P337=1,$E$2003+Q337,""))</f>
        <v/>
      </c>
      <c r="E337" s="0" t="n">
        <f aca="false">E336+C337</f>
        <v>0</v>
      </c>
      <c r="L337" s="0" t="n">
        <f aca="false">IF(AND(Versions!B335&lt;&gt;"",Versions!B335='Policy card'!$C$3),1,0)</f>
        <v>0</v>
      </c>
      <c r="M337" s="0" t="str">
        <f aca="false">IF(L337=1,N337,"")</f>
        <v/>
      </c>
      <c r="N337" s="0" t="n">
        <f aca="false">N336+L337</f>
        <v>2</v>
      </c>
      <c r="P337" s="0" t="n">
        <f aca="false">IF(AND(Comments!B335='Policy card'!$C$3,Comments!N335="Closed"),1,0)</f>
        <v>0</v>
      </c>
      <c r="Q337" s="0" t="n">
        <f aca="false">Q336+P337</f>
        <v>7</v>
      </c>
    </row>
    <row r="338" customFormat="false" ht="15" hidden="false" customHeight="false" outlineLevel="0" collapsed="false">
      <c r="C338" s="0" t="n">
        <f aca="false">IF(AND(Comments!B336='Policy card'!$C$3,Comments!N336="Open"),1,0)</f>
        <v>0</v>
      </c>
      <c r="D338" s="0" t="str">
        <f aca="false">IF(C338=1,E338,IF(P338=1,$E$2003+Q338,""))</f>
        <v/>
      </c>
      <c r="E338" s="0" t="n">
        <f aca="false">E337+C338</f>
        <v>0</v>
      </c>
      <c r="L338" s="0" t="n">
        <f aca="false">IF(AND(Versions!B336&lt;&gt;"",Versions!B336='Policy card'!$C$3),1,0)</f>
        <v>0</v>
      </c>
      <c r="M338" s="0" t="str">
        <f aca="false">IF(L338=1,N338,"")</f>
        <v/>
      </c>
      <c r="N338" s="0" t="n">
        <f aca="false">N337+L338</f>
        <v>2</v>
      </c>
      <c r="P338" s="0" t="n">
        <f aca="false">IF(AND(Comments!B336='Policy card'!$C$3,Comments!N336="Closed"),1,0)</f>
        <v>0</v>
      </c>
      <c r="Q338" s="0" t="n">
        <f aca="false">Q337+P338</f>
        <v>7</v>
      </c>
    </row>
    <row r="339" customFormat="false" ht="15" hidden="false" customHeight="false" outlineLevel="0" collapsed="false">
      <c r="C339" s="0" t="n">
        <f aca="false">IF(AND(Comments!B337='Policy card'!$C$3,Comments!N337="Open"),1,0)</f>
        <v>0</v>
      </c>
      <c r="D339" s="0" t="str">
        <f aca="false">IF(C339=1,E339,IF(P339=1,$E$2003+Q339,""))</f>
        <v/>
      </c>
      <c r="E339" s="0" t="n">
        <f aca="false">E338+C339</f>
        <v>0</v>
      </c>
      <c r="L339" s="0" t="n">
        <f aca="false">IF(AND(Versions!B337&lt;&gt;"",Versions!B337='Policy card'!$C$3),1,0)</f>
        <v>0</v>
      </c>
      <c r="M339" s="0" t="str">
        <f aca="false">IF(L339=1,N339,"")</f>
        <v/>
      </c>
      <c r="N339" s="0" t="n">
        <f aca="false">N338+L339</f>
        <v>2</v>
      </c>
      <c r="P339" s="0" t="n">
        <f aca="false">IF(AND(Comments!B337='Policy card'!$C$3,Comments!N337="Closed"),1,0)</f>
        <v>0</v>
      </c>
      <c r="Q339" s="0" t="n">
        <f aca="false">Q338+P339</f>
        <v>7</v>
      </c>
    </row>
    <row r="340" customFormat="false" ht="15" hidden="false" customHeight="false" outlineLevel="0" collapsed="false">
      <c r="C340" s="0" t="n">
        <f aca="false">IF(AND(Comments!B338='Policy card'!$C$3,Comments!N338="Open"),1,0)</f>
        <v>0</v>
      </c>
      <c r="D340" s="0" t="str">
        <f aca="false">IF(C340=1,E340,IF(P340=1,$E$2003+Q340,""))</f>
        <v/>
      </c>
      <c r="E340" s="0" t="n">
        <f aca="false">E339+C340</f>
        <v>0</v>
      </c>
      <c r="L340" s="0" t="n">
        <f aca="false">IF(AND(Versions!B338&lt;&gt;"",Versions!B338='Policy card'!$C$3),1,0)</f>
        <v>0</v>
      </c>
      <c r="M340" s="0" t="str">
        <f aca="false">IF(L340=1,N340,"")</f>
        <v/>
      </c>
      <c r="N340" s="0" t="n">
        <f aca="false">N339+L340</f>
        <v>2</v>
      </c>
      <c r="P340" s="0" t="n">
        <f aca="false">IF(AND(Comments!B338='Policy card'!$C$3,Comments!N338="Closed"),1,0)</f>
        <v>0</v>
      </c>
      <c r="Q340" s="0" t="n">
        <f aca="false">Q339+P340</f>
        <v>7</v>
      </c>
    </row>
    <row r="341" customFormat="false" ht="15" hidden="false" customHeight="false" outlineLevel="0" collapsed="false">
      <c r="C341" s="0" t="n">
        <f aca="false">IF(AND(Comments!B339='Policy card'!$C$3,Comments!N339="Open"),1,0)</f>
        <v>0</v>
      </c>
      <c r="D341" s="0" t="str">
        <f aca="false">IF(C341=1,E341,IF(P341=1,$E$2003+Q341,""))</f>
        <v/>
      </c>
      <c r="E341" s="0" t="n">
        <f aca="false">E340+C341</f>
        <v>0</v>
      </c>
      <c r="L341" s="0" t="n">
        <f aca="false">IF(AND(Versions!B339&lt;&gt;"",Versions!B339='Policy card'!$C$3),1,0)</f>
        <v>0</v>
      </c>
      <c r="M341" s="0" t="str">
        <f aca="false">IF(L341=1,N341,"")</f>
        <v/>
      </c>
      <c r="N341" s="0" t="n">
        <f aca="false">N340+L341</f>
        <v>2</v>
      </c>
      <c r="P341" s="0" t="n">
        <f aca="false">IF(AND(Comments!B339='Policy card'!$C$3,Comments!N339="Closed"),1,0)</f>
        <v>0</v>
      </c>
      <c r="Q341" s="0" t="n">
        <f aca="false">Q340+P341</f>
        <v>7</v>
      </c>
    </row>
    <row r="342" customFormat="false" ht="15" hidden="false" customHeight="false" outlineLevel="0" collapsed="false">
      <c r="C342" s="0" t="n">
        <f aca="false">IF(AND(Comments!B340='Policy card'!$C$3,Comments!N340="Open"),1,0)</f>
        <v>0</v>
      </c>
      <c r="D342" s="0" t="str">
        <f aca="false">IF(C342=1,E342,IF(P342=1,$E$2003+Q342,""))</f>
        <v/>
      </c>
      <c r="E342" s="0" t="n">
        <f aca="false">E341+C342</f>
        <v>0</v>
      </c>
      <c r="L342" s="0" t="n">
        <f aca="false">IF(AND(Versions!B340&lt;&gt;"",Versions!B340='Policy card'!$C$3),1,0)</f>
        <v>0</v>
      </c>
      <c r="M342" s="0" t="str">
        <f aca="false">IF(L342=1,N342,"")</f>
        <v/>
      </c>
      <c r="N342" s="0" t="n">
        <f aca="false">N341+L342</f>
        <v>2</v>
      </c>
      <c r="P342" s="0" t="n">
        <f aca="false">IF(AND(Comments!B340='Policy card'!$C$3,Comments!N340="Closed"),1,0)</f>
        <v>0</v>
      </c>
      <c r="Q342" s="0" t="n">
        <f aca="false">Q341+P342</f>
        <v>7</v>
      </c>
    </row>
    <row r="343" customFormat="false" ht="15" hidden="false" customHeight="false" outlineLevel="0" collapsed="false">
      <c r="C343" s="0" t="n">
        <f aca="false">IF(AND(Comments!B341='Policy card'!$C$3,Comments!N341="Open"),1,0)</f>
        <v>0</v>
      </c>
      <c r="D343" s="0" t="str">
        <f aca="false">IF(C343=1,E343,IF(P343=1,$E$2003+Q343,""))</f>
        <v/>
      </c>
      <c r="E343" s="0" t="n">
        <f aca="false">E342+C343</f>
        <v>0</v>
      </c>
      <c r="L343" s="0" t="n">
        <f aca="false">IF(AND(Versions!B341&lt;&gt;"",Versions!B341='Policy card'!$C$3),1,0)</f>
        <v>0</v>
      </c>
      <c r="M343" s="0" t="str">
        <f aca="false">IF(L343=1,N343,"")</f>
        <v/>
      </c>
      <c r="N343" s="0" t="n">
        <f aca="false">N342+L343</f>
        <v>2</v>
      </c>
      <c r="P343" s="0" t="n">
        <f aca="false">IF(AND(Comments!B341='Policy card'!$C$3,Comments!N341="Closed"),1,0)</f>
        <v>0</v>
      </c>
      <c r="Q343" s="0" t="n">
        <f aca="false">Q342+P343</f>
        <v>7</v>
      </c>
    </row>
    <row r="344" customFormat="false" ht="15" hidden="false" customHeight="false" outlineLevel="0" collapsed="false">
      <c r="C344" s="0" t="n">
        <f aca="false">IF(AND(Comments!B342='Policy card'!$C$3,Comments!N342="Open"),1,0)</f>
        <v>0</v>
      </c>
      <c r="D344" s="0" t="str">
        <f aca="false">IF(C344=1,E344,IF(P344=1,$E$2003+Q344,""))</f>
        <v/>
      </c>
      <c r="E344" s="0" t="n">
        <f aca="false">E343+C344</f>
        <v>0</v>
      </c>
      <c r="L344" s="0" t="n">
        <f aca="false">IF(AND(Versions!B342&lt;&gt;"",Versions!B342='Policy card'!$C$3),1,0)</f>
        <v>0</v>
      </c>
      <c r="M344" s="0" t="str">
        <f aca="false">IF(L344=1,N344,"")</f>
        <v/>
      </c>
      <c r="N344" s="0" t="n">
        <f aca="false">N343+L344</f>
        <v>2</v>
      </c>
      <c r="P344" s="0" t="n">
        <f aca="false">IF(AND(Comments!B342='Policy card'!$C$3,Comments!N342="Closed"),1,0)</f>
        <v>0</v>
      </c>
      <c r="Q344" s="0" t="n">
        <f aca="false">Q343+P344</f>
        <v>7</v>
      </c>
    </row>
    <row r="345" customFormat="false" ht="15" hidden="false" customHeight="false" outlineLevel="0" collapsed="false">
      <c r="C345" s="0" t="n">
        <f aca="false">IF(AND(Comments!B343='Policy card'!$C$3,Comments!N343="Open"),1,0)</f>
        <v>0</v>
      </c>
      <c r="D345" s="0" t="str">
        <f aca="false">IF(C345=1,E345,IF(P345=1,$E$2003+Q345,""))</f>
        <v/>
      </c>
      <c r="E345" s="0" t="n">
        <f aca="false">E344+C345</f>
        <v>0</v>
      </c>
      <c r="L345" s="0" t="n">
        <f aca="false">IF(AND(Versions!B343&lt;&gt;"",Versions!B343='Policy card'!$C$3),1,0)</f>
        <v>0</v>
      </c>
      <c r="M345" s="0" t="str">
        <f aca="false">IF(L345=1,N345,"")</f>
        <v/>
      </c>
      <c r="N345" s="0" t="n">
        <f aca="false">N344+L345</f>
        <v>2</v>
      </c>
      <c r="P345" s="0" t="n">
        <f aca="false">IF(AND(Comments!B343='Policy card'!$C$3,Comments!N343="Closed"),1,0)</f>
        <v>0</v>
      </c>
      <c r="Q345" s="0" t="n">
        <f aca="false">Q344+P345</f>
        <v>7</v>
      </c>
    </row>
    <row r="346" customFormat="false" ht="15" hidden="false" customHeight="false" outlineLevel="0" collapsed="false">
      <c r="C346" s="0" t="n">
        <f aca="false">IF(AND(Comments!B344='Policy card'!$C$3,Comments!N344="Open"),1,0)</f>
        <v>0</v>
      </c>
      <c r="D346" s="0" t="str">
        <f aca="false">IF(C346=1,E346,IF(P346=1,$E$2003+Q346,""))</f>
        <v/>
      </c>
      <c r="E346" s="0" t="n">
        <f aca="false">E345+C346</f>
        <v>0</v>
      </c>
      <c r="L346" s="0" t="n">
        <f aca="false">IF(AND(Versions!B344&lt;&gt;"",Versions!B344='Policy card'!$C$3),1,0)</f>
        <v>0</v>
      </c>
      <c r="M346" s="0" t="str">
        <f aca="false">IF(L346=1,N346,"")</f>
        <v/>
      </c>
      <c r="N346" s="0" t="n">
        <f aca="false">N345+L346</f>
        <v>2</v>
      </c>
      <c r="P346" s="0" t="n">
        <f aca="false">IF(AND(Comments!B344='Policy card'!$C$3,Comments!N344="Closed"),1,0)</f>
        <v>0</v>
      </c>
      <c r="Q346" s="0" t="n">
        <f aca="false">Q345+P346</f>
        <v>7</v>
      </c>
    </row>
    <row r="347" customFormat="false" ht="15" hidden="false" customHeight="false" outlineLevel="0" collapsed="false">
      <c r="C347" s="0" t="n">
        <f aca="false">IF(AND(Comments!B345='Policy card'!$C$3,Comments!N345="Open"),1,0)</f>
        <v>0</v>
      </c>
      <c r="D347" s="0" t="str">
        <f aca="false">IF(C347=1,E347,IF(P347=1,$E$2003+Q347,""))</f>
        <v/>
      </c>
      <c r="E347" s="0" t="n">
        <f aca="false">E346+C347</f>
        <v>0</v>
      </c>
      <c r="L347" s="0" t="n">
        <f aca="false">IF(AND(Versions!B345&lt;&gt;"",Versions!B345='Policy card'!$C$3),1,0)</f>
        <v>0</v>
      </c>
      <c r="M347" s="0" t="str">
        <f aca="false">IF(L347=1,N347,"")</f>
        <v/>
      </c>
      <c r="N347" s="0" t="n">
        <f aca="false">N346+L347</f>
        <v>2</v>
      </c>
      <c r="P347" s="0" t="n">
        <f aca="false">IF(AND(Comments!B345='Policy card'!$C$3,Comments!N345="Closed"),1,0)</f>
        <v>0</v>
      </c>
      <c r="Q347" s="0" t="n">
        <f aca="false">Q346+P347</f>
        <v>7</v>
      </c>
    </row>
    <row r="348" customFormat="false" ht="15" hidden="false" customHeight="false" outlineLevel="0" collapsed="false">
      <c r="C348" s="0" t="n">
        <f aca="false">IF(AND(Comments!B346='Policy card'!$C$3,Comments!N346="Open"),1,0)</f>
        <v>0</v>
      </c>
      <c r="D348" s="0" t="str">
        <f aca="false">IF(C348=1,E348,IF(P348=1,$E$2003+Q348,""))</f>
        <v/>
      </c>
      <c r="E348" s="0" t="n">
        <f aca="false">E347+C348</f>
        <v>0</v>
      </c>
      <c r="L348" s="0" t="n">
        <f aca="false">IF(AND(Versions!B346&lt;&gt;"",Versions!B346='Policy card'!$C$3),1,0)</f>
        <v>0</v>
      </c>
      <c r="M348" s="0" t="str">
        <f aca="false">IF(L348=1,N348,"")</f>
        <v/>
      </c>
      <c r="N348" s="0" t="n">
        <f aca="false">N347+L348</f>
        <v>2</v>
      </c>
      <c r="P348" s="0" t="n">
        <f aca="false">IF(AND(Comments!B346='Policy card'!$C$3,Comments!N346="Closed"),1,0)</f>
        <v>0</v>
      </c>
      <c r="Q348" s="0" t="n">
        <f aca="false">Q347+P348</f>
        <v>7</v>
      </c>
    </row>
    <row r="349" customFormat="false" ht="15" hidden="false" customHeight="false" outlineLevel="0" collapsed="false">
      <c r="C349" s="0" t="n">
        <f aca="false">IF(AND(Comments!B347='Policy card'!$C$3,Comments!N347="Open"),1,0)</f>
        <v>0</v>
      </c>
      <c r="D349" s="0" t="str">
        <f aca="false">IF(C349=1,E349,IF(P349=1,$E$2003+Q349,""))</f>
        <v/>
      </c>
      <c r="E349" s="0" t="n">
        <f aca="false">E348+C349</f>
        <v>0</v>
      </c>
      <c r="L349" s="0" t="n">
        <f aca="false">IF(AND(Versions!B347&lt;&gt;"",Versions!B347='Policy card'!$C$3),1,0)</f>
        <v>0</v>
      </c>
      <c r="M349" s="0" t="str">
        <f aca="false">IF(L349=1,N349,"")</f>
        <v/>
      </c>
      <c r="N349" s="0" t="n">
        <f aca="false">N348+L349</f>
        <v>2</v>
      </c>
      <c r="P349" s="0" t="n">
        <f aca="false">IF(AND(Comments!B347='Policy card'!$C$3,Comments!N347="Closed"),1,0)</f>
        <v>0</v>
      </c>
      <c r="Q349" s="0" t="n">
        <f aca="false">Q348+P349</f>
        <v>7</v>
      </c>
    </row>
    <row r="350" customFormat="false" ht="15" hidden="false" customHeight="false" outlineLevel="0" collapsed="false">
      <c r="C350" s="0" t="n">
        <f aca="false">IF(AND(Comments!B348='Policy card'!$C$3,Comments!N348="Open"),1,0)</f>
        <v>0</v>
      </c>
      <c r="D350" s="0" t="str">
        <f aca="false">IF(C350=1,E350,IF(P350=1,$E$2003+Q350,""))</f>
        <v/>
      </c>
      <c r="E350" s="0" t="n">
        <f aca="false">E349+C350</f>
        <v>0</v>
      </c>
      <c r="L350" s="0" t="n">
        <f aca="false">IF(AND(Versions!B348&lt;&gt;"",Versions!B348='Policy card'!$C$3),1,0)</f>
        <v>0</v>
      </c>
      <c r="M350" s="0" t="str">
        <f aca="false">IF(L350=1,N350,"")</f>
        <v/>
      </c>
      <c r="N350" s="0" t="n">
        <f aca="false">N349+L350</f>
        <v>2</v>
      </c>
      <c r="P350" s="0" t="n">
        <f aca="false">IF(AND(Comments!B348='Policy card'!$C$3,Comments!N348="Closed"),1,0)</f>
        <v>0</v>
      </c>
      <c r="Q350" s="0" t="n">
        <f aca="false">Q349+P350</f>
        <v>7</v>
      </c>
    </row>
    <row r="351" customFormat="false" ht="15" hidden="false" customHeight="false" outlineLevel="0" collapsed="false">
      <c r="C351" s="0" t="n">
        <f aca="false">IF(AND(Comments!B349='Policy card'!$C$3,Comments!N349="Open"),1,0)</f>
        <v>0</v>
      </c>
      <c r="D351" s="0" t="str">
        <f aca="false">IF(C351=1,E351,IF(P351=1,$E$2003+Q351,""))</f>
        <v/>
      </c>
      <c r="E351" s="0" t="n">
        <f aca="false">E350+C351</f>
        <v>0</v>
      </c>
      <c r="L351" s="0" t="n">
        <f aca="false">IF(AND(Versions!B349&lt;&gt;"",Versions!B349='Policy card'!$C$3),1,0)</f>
        <v>0</v>
      </c>
      <c r="M351" s="0" t="str">
        <f aca="false">IF(L351=1,N351,"")</f>
        <v/>
      </c>
      <c r="N351" s="0" t="n">
        <f aca="false">N350+L351</f>
        <v>2</v>
      </c>
      <c r="P351" s="0" t="n">
        <f aca="false">IF(AND(Comments!B349='Policy card'!$C$3,Comments!N349="Closed"),1,0)</f>
        <v>0</v>
      </c>
      <c r="Q351" s="0" t="n">
        <f aca="false">Q350+P351</f>
        <v>7</v>
      </c>
    </row>
    <row r="352" customFormat="false" ht="15" hidden="false" customHeight="false" outlineLevel="0" collapsed="false">
      <c r="C352" s="0" t="n">
        <f aca="false">IF(AND(Comments!B350='Policy card'!$C$3,Comments!N350="Open"),1,0)</f>
        <v>0</v>
      </c>
      <c r="D352" s="0" t="str">
        <f aca="false">IF(C352=1,E352,IF(P352=1,$E$2003+Q352,""))</f>
        <v/>
      </c>
      <c r="E352" s="0" t="n">
        <f aca="false">E351+C352</f>
        <v>0</v>
      </c>
      <c r="L352" s="0" t="n">
        <f aca="false">IF(AND(Versions!B350&lt;&gt;"",Versions!B350='Policy card'!$C$3),1,0)</f>
        <v>0</v>
      </c>
      <c r="M352" s="0" t="str">
        <f aca="false">IF(L352=1,N352,"")</f>
        <v/>
      </c>
      <c r="N352" s="0" t="n">
        <f aca="false">N351+L352</f>
        <v>2</v>
      </c>
      <c r="P352" s="0" t="n">
        <f aca="false">IF(AND(Comments!B350='Policy card'!$C$3,Comments!N350="Closed"),1,0)</f>
        <v>0</v>
      </c>
      <c r="Q352" s="0" t="n">
        <f aca="false">Q351+P352</f>
        <v>7</v>
      </c>
    </row>
    <row r="353" customFormat="false" ht="15" hidden="false" customHeight="false" outlineLevel="0" collapsed="false">
      <c r="C353" s="0" t="n">
        <f aca="false">IF(AND(Comments!B351='Policy card'!$C$3,Comments!N351="Open"),1,0)</f>
        <v>0</v>
      </c>
      <c r="D353" s="0" t="str">
        <f aca="false">IF(C353=1,E353,IF(P353=1,$E$2003+Q353,""))</f>
        <v/>
      </c>
      <c r="E353" s="0" t="n">
        <f aca="false">E352+C353</f>
        <v>0</v>
      </c>
      <c r="L353" s="0" t="n">
        <f aca="false">IF(AND(Versions!B351&lt;&gt;"",Versions!B351='Policy card'!$C$3),1,0)</f>
        <v>0</v>
      </c>
      <c r="M353" s="0" t="str">
        <f aca="false">IF(L353=1,N353,"")</f>
        <v/>
      </c>
      <c r="N353" s="0" t="n">
        <f aca="false">N352+L353</f>
        <v>2</v>
      </c>
      <c r="P353" s="0" t="n">
        <f aca="false">IF(AND(Comments!B351='Policy card'!$C$3,Comments!N351="Closed"),1,0)</f>
        <v>0</v>
      </c>
      <c r="Q353" s="0" t="n">
        <f aca="false">Q352+P353</f>
        <v>7</v>
      </c>
    </row>
    <row r="354" customFormat="false" ht="15" hidden="false" customHeight="false" outlineLevel="0" collapsed="false">
      <c r="C354" s="0" t="n">
        <f aca="false">IF(AND(Comments!B352='Policy card'!$C$3,Comments!N352="Open"),1,0)</f>
        <v>0</v>
      </c>
      <c r="D354" s="0" t="str">
        <f aca="false">IF(C354=1,E354,IF(P354=1,$E$2003+Q354,""))</f>
        <v/>
      </c>
      <c r="E354" s="0" t="n">
        <f aca="false">E353+C354</f>
        <v>0</v>
      </c>
      <c r="L354" s="0" t="n">
        <f aca="false">IF(AND(Versions!B352&lt;&gt;"",Versions!B352='Policy card'!$C$3),1,0)</f>
        <v>0</v>
      </c>
      <c r="M354" s="0" t="str">
        <f aca="false">IF(L354=1,N354,"")</f>
        <v/>
      </c>
      <c r="N354" s="0" t="n">
        <f aca="false">N353+L354</f>
        <v>2</v>
      </c>
      <c r="P354" s="0" t="n">
        <f aca="false">IF(AND(Comments!B352='Policy card'!$C$3,Comments!N352="Closed"),1,0)</f>
        <v>0</v>
      </c>
      <c r="Q354" s="0" t="n">
        <f aca="false">Q353+P354</f>
        <v>7</v>
      </c>
    </row>
    <row r="355" customFormat="false" ht="15" hidden="false" customHeight="false" outlineLevel="0" collapsed="false">
      <c r="C355" s="0" t="n">
        <f aca="false">IF(AND(Comments!B353='Policy card'!$C$3,Comments!N353="Open"),1,0)</f>
        <v>0</v>
      </c>
      <c r="D355" s="0" t="str">
        <f aca="false">IF(C355=1,E355,IF(P355=1,$E$2003+Q355,""))</f>
        <v/>
      </c>
      <c r="E355" s="0" t="n">
        <f aca="false">E354+C355</f>
        <v>0</v>
      </c>
      <c r="L355" s="0" t="n">
        <f aca="false">IF(AND(Versions!B353&lt;&gt;"",Versions!B353='Policy card'!$C$3),1,0)</f>
        <v>0</v>
      </c>
      <c r="M355" s="0" t="str">
        <f aca="false">IF(L355=1,N355,"")</f>
        <v/>
      </c>
      <c r="N355" s="0" t="n">
        <f aca="false">N354+L355</f>
        <v>2</v>
      </c>
      <c r="P355" s="0" t="n">
        <f aca="false">IF(AND(Comments!B353='Policy card'!$C$3,Comments!N353="Closed"),1,0)</f>
        <v>0</v>
      </c>
      <c r="Q355" s="0" t="n">
        <f aca="false">Q354+P355</f>
        <v>7</v>
      </c>
    </row>
    <row r="356" customFormat="false" ht="15" hidden="false" customHeight="false" outlineLevel="0" collapsed="false">
      <c r="C356" s="0" t="n">
        <f aca="false">IF(AND(Comments!B354='Policy card'!$C$3,Comments!N354="Open"),1,0)</f>
        <v>0</v>
      </c>
      <c r="D356" s="0" t="str">
        <f aca="false">IF(C356=1,E356,IF(P356=1,$E$2003+Q356,""))</f>
        <v/>
      </c>
      <c r="E356" s="0" t="n">
        <f aca="false">E355+C356</f>
        <v>0</v>
      </c>
      <c r="L356" s="0" t="n">
        <f aca="false">IF(AND(Versions!B354&lt;&gt;"",Versions!B354='Policy card'!$C$3),1,0)</f>
        <v>0</v>
      </c>
      <c r="M356" s="0" t="str">
        <f aca="false">IF(L356=1,N356,"")</f>
        <v/>
      </c>
      <c r="N356" s="0" t="n">
        <f aca="false">N355+L356</f>
        <v>2</v>
      </c>
      <c r="P356" s="0" t="n">
        <f aca="false">IF(AND(Comments!B354='Policy card'!$C$3,Comments!N354="Closed"),1,0)</f>
        <v>0</v>
      </c>
      <c r="Q356" s="0" t="n">
        <f aca="false">Q355+P356</f>
        <v>7</v>
      </c>
    </row>
    <row r="357" customFormat="false" ht="15" hidden="false" customHeight="false" outlineLevel="0" collapsed="false">
      <c r="C357" s="0" t="n">
        <f aca="false">IF(AND(Comments!B355='Policy card'!$C$3,Comments!N355="Open"),1,0)</f>
        <v>0</v>
      </c>
      <c r="D357" s="0" t="str">
        <f aca="false">IF(C357=1,E357,IF(P357=1,$E$2003+Q357,""))</f>
        <v/>
      </c>
      <c r="E357" s="0" t="n">
        <f aca="false">E356+C357</f>
        <v>0</v>
      </c>
      <c r="L357" s="0" t="n">
        <f aca="false">IF(AND(Versions!B355&lt;&gt;"",Versions!B355='Policy card'!$C$3),1,0)</f>
        <v>0</v>
      </c>
      <c r="M357" s="0" t="str">
        <f aca="false">IF(L357=1,N357,"")</f>
        <v/>
      </c>
      <c r="N357" s="0" t="n">
        <f aca="false">N356+L357</f>
        <v>2</v>
      </c>
      <c r="P357" s="0" t="n">
        <f aca="false">IF(AND(Comments!B355='Policy card'!$C$3,Comments!N355="Closed"),1,0)</f>
        <v>0</v>
      </c>
      <c r="Q357" s="0" t="n">
        <f aca="false">Q356+P357</f>
        <v>7</v>
      </c>
    </row>
    <row r="358" customFormat="false" ht="15" hidden="false" customHeight="false" outlineLevel="0" collapsed="false">
      <c r="C358" s="0" t="n">
        <f aca="false">IF(AND(Comments!B356='Policy card'!$C$3,Comments!N356="Open"),1,0)</f>
        <v>0</v>
      </c>
      <c r="D358" s="0" t="str">
        <f aca="false">IF(C358=1,E358,IF(P358=1,$E$2003+Q358,""))</f>
        <v/>
      </c>
      <c r="E358" s="0" t="n">
        <f aca="false">E357+C358</f>
        <v>0</v>
      </c>
      <c r="L358" s="0" t="n">
        <f aca="false">IF(AND(Versions!B356&lt;&gt;"",Versions!B356='Policy card'!$C$3),1,0)</f>
        <v>0</v>
      </c>
      <c r="M358" s="0" t="str">
        <f aca="false">IF(L358=1,N358,"")</f>
        <v/>
      </c>
      <c r="N358" s="0" t="n">
        <f aca="false">N357+L358</f>
        <v>2</v>
      </c>
      <c r="P358" s="0" t="n">
        <f aca="false">IF(AND(Comments!B356='Policy card'!$C$3,Comments!N356="Closed"),1,0)</f>
        <v>0</v>
      </c>
      <c r="Q358" s="0" t="n">
        <f aca="false">Q357+P358</f>
        <v>7</v>
      </c>
    </row>
    <row r="359" customFormat="false" ht="15" hidden="false" customHeight="false" outlineLevel="0" collapsed="false">
      <c r="C359" s="0" t="n">
        <f aca="false">IF(AND(Comments!B357='Policy card'!$C$3,Comments!N357="Open"),1,0)</f>
        <v>0</v>
      </c>
      <c r="D359" s="0" t="str">
        <f aca="false">IF(C359=1,E359,IF(P359=1,$E$2003+Q359,""))</f>
        <v/>
      </c>
      <c r="E359" s="0" t="n">
        <f aca="false">E358+C359</f>
        <v>0</v>
      </c>
      <c r="L359" s="0" t="n">
        <f aca="false">IF(AND(Versions!B357&lt;&gt;"",Versions!B357='Policy card'!$C$3),1,0)</f>
        <v>0</v>
      </c>
      <c r="M359" s="0" t="str">
        <f aca="false">IF(L359=1,N359,"")</f>
        <v/>
      </c>
      <c r="N359" s="0" t="n">
        <f aca="false">N358+L359</f>
        <v>2</v>
      </c>
      <c r="P359" s="0" t="n">
        <f aca="false">IF(AND(Comments!B357='Policy card'!$C$3,Comments!N357="Closed"),1,0)</f>
        <v>0</v>
      </c>
      <c r="Q359" s="0" t="n">
        <f aca="false">Q358+P359</f>
        <v>7</v>
      </c>
    </row>
    <row r="360" customFormat="false" ht="15" hidden="false" customHeight="false" outlineLevel="0" collapsed="false">
      <c r="C360" s="0" t="n">
        <f aca="false">IF(AND(Comments!B358='Policy card'!$C$3,Comments!N358="Open"),1,0)</f>
        <v>0</v>
      </c>
      <c r="D360" s="0" t="str">
        <f aca="false">IF(C360=1,E360,IF(P360=1,$E$2003+Q360,""))</f>
        <v/>
      </c>
      <c r="E360" s="0" t="n">
        <f aca="false">E359+C360</f>
        <v>0</v>
      </c>
      <c r="L360" s="0" t="n">
        <f aca="false">IF(AND(Versions!B358&lt;&gt;"",Versions!B358='Policy card'!$C$3),1,0)</f>
        <v>0</v>
      </c>
      <c r="M360" s="0" t="str">
        <f aca="false">IF(L360=1,N360,"")</f>
        <v/>
      </c>
      <c r="N360" s="0" t="n">
        <f aca="false">N359+L360</f>
        <v>2</v>
      </c>
      <c r="P360" s="0" t="n">
        <f aca="false">IF(AND(Comments!B358='Policy card'!$C$3,Comments!N358="Closed"),1,0)</f>
        <v>0</v>
      </c>
      <c r="Q360" s="0" t="n">
        <f aca="false">Q359+P360</f>
        <v>7</v>
      </c>
    </row>
    <row r="361" customFormat="false" ht="15" hidden="false" customHeight="false" outlineLevel="0" collapsed="false">
      <c r="C361" s="0" t="n">
        <f aca="false">IF(AND(Comments!B359='Policy card'!$C$3,Comments!N359="Open"),1,0)</f>
        <v>0</v>
      </c>
      <c r="D361" s="0" t="str">
        <f aca="false">IF(C361=1,E361,IF(P361=1,$E$2003+Q361,""))</f>
        <v/>
      </c>
      <c r="E361" s="0" t="n">
        <f aca="false">E360+C361</f>
        <v>0</v>
      </c>
      <c r="L361" s="0" t="n">
        <f aca="false">IF(AND(Versions!B359&lt;&gt;"",Versions!B359='Policy card'!$C$3),1,0)</f>
        <v>0</v>
      </c>
      <c r="M361" s="0" t="str">
        <f aca="false">IF(L361=1,N361,"")</f>
        <v/>
      </c>
      <c r="N361" s="0" t="n">
        <f aca="false">N360+L361</f>
        <v>2</v>
      </c>
      <c r="P361" s="0" t="n">
        <f aca="false">IF(AND(Comments!B359='Policy card'!$C$3,Comments!N359="Closed"),1,0)</f>
        <v>0</v>
      </c>
      <c r="Q361" s="0" t="n">
        <f aca="false">Q360+P361</f>
        <v>7</v>
      </c>
    </row>
    <row r="362" customFormat="false" ht="15" hidden="false" customHeight="false" outlineLevel="0" collapsed="false">
      <c r="C362" s="0" t="n">
        <f aca="false">IF(AND(Comments!B360='Policy card'!$C$3,Comments!N360="Open"),1,0)</f>
        <v>0</v>
      </c>
      <c r="D362" s="0" t="str">
        <f aca="false">IF(C362=1,E362,IF(P362=1,$E$2003+Q362,""))</f>
        <v/>
      </c>
      <c r="E362" s="0" t="n">
        <f aca="false">E361+C362</f>
        <v>0</v>
      </c>
      <c r="L362" s="0" t="n">
        <f aca="false">IF(AND(Versions!B360&lt;&gt;"",Versions!B360='Policy card'!$C$3),1,0)</f>
        <v>0</v>
      </c>
      <c r="M362" s="0" t="str">
        <f aca="false">IF(L362=1,N362,"")</f>
        <v/>
      </c>
      <c r="N362" s="0" t="n">
        <f aca="false">N361+L362</f>
        <v>2</v>
      </c>
      <c r="P362" s="0" t="n">
        <f aca="false">IF(AND(Comments!B360='Policy card'!$C$3,Comments!N360="Closed"),1,0)</f>
        <v>0</v>
      </c>
      <c r="Q362" s="0" t="n">
        <f aca="false">Q361+P362</f>
        <v>7</v>
      </c>
    </row>
    <row r="363" customFormat="false" ht="15" hidden="false" customHeight="false" outlineLevel="0" collapsed="false">
      <c r="C363" s="0" t="n">
        <f aca="false">IF(AND(Comments!B361='Policy card'!$C$3,Comments!N361="Open"),1,0)</f>
        <v>0</v>
      </c>
      <c r="D363" s="0" t="str">
        <f aca="false">IF(C363=1,E363,IF(P363=1,$E$2003+Q363,""))</f>
        <v/>
      </c>
      <c r="E363" s="0" t="n">
        <f aca="false">E362+C363</f>
        <v>0</v>
      </c>
      <c r="L363" s="0" t="n">
        <f aca="false">IF(AND(Versions!B361&lt;&gt;"",Versions!B361='Policy card'!$C$3),1,0)</f>
        <v>0</v>
      </c>
      <c r="M363" s="0" t="str">
        <f aca="false">IF(L363=1,N363,"")</f>
        <v/>
      </c>
      <c r="N363" s="0" t="n">
        <f aca="false">N362+L363</f>
        <v>2</v>
      </c>
      <c r="P363" s="0" t="n">
        <f aca="false">IF(AND(Comments!B361='Policy card'!$C$3,Comments!N361="Closed"),1,0)</f>
        <v>0</v>
      </c>
      <c r="Q363" s="0" t="n">
        <f aca="false">Q362+P363</f>
        <v>7</v>
      </c>
    </row>
    <row r="364" customFormat="false" ht="15" hidden="false" customHeight="false" outlineLevel="0" collapsed="false">
      <c r="C364" s="0" t="n">
        <f aca="false">IF(AND(Comments!B362='Policy card'!$C$3,Comments!N362="Open"),1,0)</f>
        <v>0</v>
      </c>
      <c r="D364" s="0" t="str">
        <f aca="false">IF(C364=1,E364,IF(P364=1,$E$2003+Q364,""))</f>
        <v/>
      </c>
      <c r="E364" s="0" t="n">
        <f aca="false">E363+C364</f>
        <v>0</v>
      </c>
      <c r="L364" s="0" t="n">
        <f aca="false">IF(AND(Versions!B362&lt;&gt;"",Versions!B362='Policy card'!$C$3),1,0)</f>
        <v>0</v>
      </c>
      <c r="M364" s="0" t="str">
        <f aca="false">IF(L364=1,N364,"")</f>
        <v/>
      </c>
      <c r="N364" s="0" t="n">
        <f aca="false">N363+L364</f>
        <v>2</v>
      </c>
      <c r="P364" s="0" t="n">
        <f aca="false">IF(AND(Comments!B362='Policy card'!$C$3,Comments!N362="Closed"),1,0)</f>
        <v>0</v>
      </c>
      <c r="Q364" s="0" t="n">
        <f aca="false">Q363+P364</f>
        <v>7</v>
      </c>
    </row>
    <row r="365" customFormat="false" ht="15" hidden="false" customHeight="false" outlineLevel="0" collapsed="false">
      <c r="C365" s="0" t="n">
        <f aca="false">IF(AND(Comments!B363='Policy card'!$C$3,Comments!N363="Open"),1,0)</f>
        <v>0</v>
      </c>
      <c r="D365" s="0" t="str">
        <f aca="false">IF(C365=1,E365,IF(P365=1,$E$2003+Q365,""))</f>
        <v/>
      </c>
      <c r="E365" s="0" t="n">
        <f aca="false">E364+C365</f>
        <v>0</v>
      </c>
      <c r="L365" s="0" t="n">
        <f aca="false">IF(AND(Versions!B363&lt;&gt;"",Versions!B363='Policy card'!$C$3),1,0)</f>
        <v>0</v>
      </c>
      <c r="M365" s="0" t="str">
        <f aca="false">IF(L365=1,N365,"")</f>
        <v/>
      </c>
      <c r="N365" s="0" t="n">
        <f aca="false">N364+L365</f>
        <v>2</v>
      </c>
      <c r="P365" s="0" t="n">
        <f aca="false">IF(AND(Comments!B363='Policy card'!$C$3,Comments!N363="Closed"),1,0)</f>
        <v>0</v>
      </c>
      <c r="Q365" s="0" t="n">
        <f aca="false">Q364+P365</f>
        <v>7</v>
      </c>
    </row>
    <row r="366" customFormat="false" ht="15" hidden="false" customHeight="false" outlineLevel="0" collapsed="false">
      <c r="C366" s="0" t="n">
        <f aca="false">IF(AND(Comments!B364='Policy card'!$C$3,Comments!N364="Open"),1,0)</f>
        <v>0</v>
      </c>
      <c r="D366" s="0" t="str">
        <f aca="false">IF(C366=1,E366,IF(P366=1,$E$2003+Q366,""))</f>
        <v/>
      </c>
      <c r="E366" s="0" t="n">
        <f aca="false">E365+C366</f>
        <v>0</v>
      </c>
      <c r="L366" s="0" t="n">
        <f aca="false">IF(AND(Versions!B364&lt;&gt;"",Versions!B364='Policy card'!$C$3),1,0)</f>
        <v>0</v>
      </c>
      <c r="M366" s="0" t="str">
        <f aca="false">IF(L366=1,N366,"")</f>
        <v/>
      </c>
      <c r="N366" s="0" t="n">
        <f aca="false">N365+L366</f>
        <v>2</v>
      </c>
      <c r="P366" s="0" t="n">
        <f aca="false">IF(AND(Comments!B364='Policy card'!$C$3,Comments!N364="Closed"),1,0)</f>
        <v>0</v>
      </c>
      <c r="Q366" s="0" t="n">
        <f aca="false">Q365+P366</f>
        <v>7</v>
      </c>
    </row>
    <row r="367" customFormat="false" ht="15" hidden="false" customHeight="false" outlineLevel="0" collapsed="false">
      <c r="C367" s="0" t="n">
        <f aca="false">IF(AND(Comments!B365='Policy card'!$C$3,Comments!N365="Open"),1,0)</f>
        <v>0</v>
      </c>
      <c r="D367" s="0" t="str">
        <f aca="false">IF(C367=1,E367,IF(P367=1,$E$2003+Q367,""))</f>
        <v/>
      </c>
      <c r="E367" s="0" t="n">
        <f aca="false">E366+C367</f>
        <v>0</v>
      </c>
      <c r="L367" s="0" t="n">
        <f aca="false">IF(AND(Versions!B365&lt;&gt;"",Versions!B365='Policy card'!$C$3),1,0)</f>
        <v>0</v>
      </c>
      <c r="M367" s="0" t="str">
        <f aca="false">IF(L367=1,N367,"")</f>
        <v/>
      </c>
      <c r="N367" s="0" t="n">
        <f aca="false">N366+L367</f>
        <v>2</v>
      </c>
      <c r="P367" s="0" t="n">
        <f aca="false">IF(AND(Comments!B365='Policy card'!$C$3,Comments!N365="Closed"),1,0)</f>
        <v>0</v>
      </c>
      <c r="Q367" s="0" t="n">
        <f aca="false">Q366+P367</f>
        <v>7</v>
      </c>
    </row>
    <row r="368" customFormat="false" ht="15" hidden="false" customHeight="false" outlineLevel="0" collapsed="false">
      <c r="C368" s="0" t="n">
        <f aca="false">IF(AND(Comments!B366='Policy card'!$C$3,Comments!N366="Open"),1,0)</f>
        <v>0</v>
      </c>
      <c r="D368" s="0" t="str">
        <f aca="false">IF(C368=1,E368,IF(P368=1,$E$2003+Q368,""))</f>
        <v/>
      </c>
      <c r="E368" s="0" t="n">
        <f aca="false">E367+C368</f>
        <v>0</v>
      </c>
      <c r="L368" s="0" t="n">
        <f aca="false">IF(AND(Versions!B366&lt;&gt;"",Versions!B366='Policy card'!$C$3),1,0)</f>
        <v>0</v>
      </c>
      <c r="M368" s="0" t="str">
        <f aca="false">IF(L368=1,N368,"")</f>
        <v/>
      </c>
      <c r="N368" s="0" t="n">
        <f aca="false">N367+L368</f>
        <v>2</v>
      </c>
      <c r="P368" s="0" t="n">
        <f aca="false">IF(AND(Comments!B366='Policy card'!$C$3,Comments!N366="Closed"),1,0)</f>
        <v>0</v>
      </c>
      <c r="Q368" s="0" t="n">
        <f aca="false">Q367+P368</f>
        <v>7</v>
      </c>
    </row>
    <row r="369" customFormat="false" ht="15" hidden="false" customHeight="false" outlineLevel="0" collapsed="false">
      <c r="C369" s="0" t="n">
        <f aca="false">IF(AND(Comments!B367='Policy card'!$C$3,Comments!N367="Open"),1,0)</f>
        <v>0</v>
      </c>
      <c r="D369" s="0" t="str">
        <f aca="false">IF(C369=1,E369,IF(P369=1,$E$2003+Q369,""))</f>
        <v/>
      </c>
      <c r="E369" s="0" t="n">
        <f aca="false">E368+C369</f>
        <v>0</v>
      </c>
      <c r="L369" s="0" t="n">
        <f aca="false">IF(AND(Versions!B367&lt;&gt;"",Versions!B367='Policy card'!$C$3),1,0)</f>
        <v>0</v>
      </c>
      <c r="M369" s="0" t="str">
        <f aca="false">IF(L369=1,N369,"")</f>
        <v/>
      </c>
      <c r="N369" s="0" t="n">
        <f aca="false">N368+L369</f>
        <v>2</v>
      </c>
      <c r="P369" s="0" t="n">
        <f aca="false">IF(AND(Comments!B367='Policy card'!$C$3,Comments!N367="Closed"),1,0)</f>
        <v>0</v>
      </c>
      <c r="Q369" s="0" t="n">
        <f aca="false">Q368+P369</f>
        <v>7</v>
      </c>
    </row>
    <row r="370" customFormat="false" ht="15" hidden="false" customHeight="false" outlineLevel="0" collapsed="false">
      <c r="C370" s="0" t="n">
        <f aca="false">IF(AND(Comments!B368='Policy card'!$C$3,Comments!N368="Open"),1,0)</f>
        <v>0</v>
      </c>
      <c r="D370" s="0" t="str">
        <f aca="false">IF(C370=1,E370,IF(P370=1,$E$2003+Q370,""))</f>
        <v/>
      </c>
      <c r="E370" s="0" t="n">
        <f aca="false">E369+C370</f>
        <v>0</v>
      </c>
      <c r="L370" s="0" t="n">
        <f aca="false">IF(AND(Versions!B368&lt;&gt;"",Versions!B368='Policy card'!$C$3),1,0)</f>
        <v>0</v>
      </c>
      <c r="M370" s="0" t="str">
        <f aca="false">IF(L370=1,N370,"")</f>
        <v/>
      </c>
      <c r="N370" s="0" t="n">
        <f aca="false">N369+L370</f>
        <v>2</v>
      </c>
      <c r="P370" s="0" t="n">
        <f aca="false">IF(AND(Comments!B368='Policy card'!$C$3,Comments!N368="Closed"),1,0)</f>
        <v>0</v>
      </c>
      <c r="Q370" s="0" t="n">
        <f aca="false">Q369+P370</f>
        <v>7</v>
      </c>
    </row>
    <row r="371" customFormat="false" ht="15" hidden="false" customHeight="false" outlineLevel="0" collapsed="false">
      <c r="C371" s="0" t="n">
        <f aca="false">IF(AND(Comments!B369='Policy card'!$C$3,Comments!N369="Open"),1,0)</f>
        <v>0</v>
      </c>
      <c r="D371" s="0" t="str">
        <f aca="false">IF(C371=1,E371,IF(P371=1,$E$2003+Q371,""))</f>
        <v/>
      </c>
      <c r="E371" s="0" t="n">
        <f aca="false">E370+C371</f>
        <v>0</v>
      </c>
      <c r="L371" s="0" t="n">
        <f aca="false">IF(AND(Versions!B369&lt;&gt;"",Versions!B369='Policy card'!$C$3),1,0)</f>
        <v>0</v>
      </c>
      <c r="M371" s="0" t="str">
        <f aca="false">IF(L371=1,N371,"")</f>
        <v/>
      </c>
      <c r="N371" s="0" t="n">
        <f aca="false">N370+L371</f>
        <v>2</v>
      </c>
      <c r="P371" s="0" t="n">
        <f aca="false">IF(AND(Comments!B369='Policy card'!$C$3,Comments!N369="Closed"),1,0)</f>
        <v>0</v>
      </c>
      <c r="Q371" s="0" t="n">
        <f aca="false">Q370+P371</f>
        <v>7</v>
      </c>
    </row>
    <row r="372" customFormat="false" ht="15" hidden="false" customHeight="false" outlineLevel="0" collapsed="false">
      <c r="C372" s="0" t="n">
        <f aca="false">IF(AND(Comments!B370='Policy card'!$C$3,Comments!N370="Open"),1,0)</f>
        <v>0</v>
      </c>
      <c r="D372" s="0" t="str">
        <f aca="false">IF(C372=1,E372,IF(P372=1,$E$2003+Q372,""))</f>
        <v/>
      </c>
      <c r="E372" s="0" t="n">
        <f aca="false">E371+C372</f>
        <v>0</v>
      </c>
      <c r="L372" s="0" t="n">
        <f aca="false">IF(AND(Versions!B370&lt;&gt;"",Versions!B370='Policy card'!$C$3),1,0)</f>
        <v>0</v>
      </c>
      <c r="M372" s="0" t="str">
        <f aca="false">IF(L372=1,N372,"")</f>
        <v/>
      </c>
      <c r="N372" s="0" t="n">
        <f aca="false">N371+L372</f>
        <v>2</v>
      </c>
      <c r="P372" s="0" t="n">
        <f aca="false">IF(AND(Comments!B370='Policy card'!$C$3,Comments!N370="Closed"),1,0)</f>
        <v>0</v>
      </c>
      <c r="Q372" s="0" t="n">
        <f aca="false">Q371+P372</f>
        <v>7</v>
      </c>
    </row>
    <row r="373" customFormat="false" ht="15" hidden="false" customHeight="false" outlineLevel="0" collapsed="false">
      <c r="C373" s="0" t="n">
        <f aca="false">IF(AND(Comments!B371='Policy card'!$C$3,Comments!N371="Open"),1,0)</f>
        <v>0</v>
      </c>
      <c r="D373" s="0" t="str">
        <f aca="false">IF(C373=1,E373,IF(P373=1,$E$2003+Q373,""))</f>
        <v/>
      </c>
      <c r="E373" s="0" t="n">
        <f aca="false">E372+C373</f>
        <v>0</v>
      </c>
      <c r="L373" s="0" t="n">
        <f aca="false">IF(AND(Versions!B371&lt;&gt;"",Versions!B371='Policy card'!$C$3),1,0)</f>
        <v>0</v>
      </c>
      <c r="M373" s="0" t="str">
        <f aca="false">IF(L373=1,N373,"")</f>
        <v/>
      </c>
      <c r="N373" s="0" t="n">
        <f aca="false">N372+L373</f>
        <v>2</v>
      </c>
      <c r="P373" s="0" t="n">
        <f aca="false">IF(AND(Comments!B371='Policy card'!$C$3,Comments!N371="Closed"),1,0)</f>
        <v>0</v>
      </c>
      <c r="Q373" s="0" t="n">
        <f aca="false">Q372+P373</f>
        <v>7</v>
      </c>
    </row>
    <row r="374" customFormat="false" ht="15" hidden="false" customHeight="false" outlineLevel="0" collapsed="false">
      <c r="C374" s="0" t="n">
        <f aca="false">IF(AND(Comments!B372='Policy card'!$C$3,Comments!N372="Open"),1,0)</f>
        <v>0</v>
      </c>
      <c r="D374" s="0" t="str">
        <f aca="false">IF(C374=1,E374,IF(P374=1,$E$2003+Q374,""))</f>
        <v/>
      </c>
      <c r="E374" s="0" t="n">
        <f aca="false">E373+C374</f>
        <v>0</v>
      </c>
      <c r="L374" s="0" t="n">
        <f aca="false">IF(AND(Versions!B372&lt;&gt;"",Versions!B372='Policy card'!$C$3),1,0)</f>
        <v>0</v>
      </c>
      <c r="M374" s="0" t="str">
        <f aca="false">IF(L374=1,N374,"")</f>
        <v/>
      </c>
      <c r="N374" s="0" t="n">
        <f aca="false">N373+L374</f>
        <v>2</v>
      </c>
      <c r="P374" s="0" t="n">
        <f aca="false">IF(AND(Comments!B372='Policy card'!$C$3,Comments!N372="Closed"),1,0)</f>
        <v>0</v>
      </c>
      <c r="Q374" s="0" t="n">
        <f aca="false">Q373+P374</f>
        <v>7</v>
      </c>
    </row>
    <row r="375" customFormat="false" ht="15" hidden="false" customHeight="false" outlineLevel="0" collapsed="false">
      <c r="C375" s="0" t="n">
        <f aca="false">IF(AND(Comments!B373='Policy card'!$C$3,Comments!N373="Open"),1,0)</f>
        <v>0</v>
      </c>
      <c r="D375" s="0" t="str">
        <f aca="false">IF(C375=1,E375,IF(P375=1,$E$2003+Q375,""))</f>
        <v/>
      </c>
      <c r="E375" s="0" t="n">
        <f aca="false">E374+C375</f>
        <v>0</v>
      </c>
      <c r="L375" s="0" t="n">
        <f aca="false">IF(AND(Versions!B373&lt;&gt;"",Versions!B373='Policy card'!$C$3),1,0)</f>
        <v>0</v>
      </c>
      <c r="M375" s="0" t="str">
        <f aca="false">IF(L375=1,N375,"")</f>
        <v/>
      </c>
      <c r="N375" s="0" t="n">
        <f aca="false">N374+L375</f>
        <v>2</v>
      </c>
      <c r="P375" s="0" t="n">
        <f aca="false">IF(AND(Comments!B373='Policy card'!$C$3,Comments!N373="Closed"),1,0)</f>
        <v>0</v>
      </c>
      <c r="Q375" s="0" t="n">
        <f aca="false">Q374+P375</f>
        <v>7</v>
      </c>
    </row>
    <row r="376" customFormat="false" ht="15" hidden="false" customHeight="false" outlineLevel="0" collapsed="false">
      <c r="C376" s="0" t="n">
        <f aca="false">IF(AND(Comments!B374='Policy card'!$C$3,Comments!N374="Open"),1,0)</f>
        <v>0</v>
      </c>
      <c r="D376" s="0" t="str">
        <f aca="false">IF(C376=1,E376,IF(P376=1,$E$2003+Q376,""))</f>
        <v/>
      </c>
      <c r="E376" s="0" t="n">
        <f aca="false">E375+C376</f>
        <v>0</v>
      </c>
      <c r="L376" s="0" t="n">
        <f aca="false">IF(AND(Versions!B374&lt;&gt;"",Versions!B374='Policy card'!$C$3),1,0)</f>
        <v>0</v>
      </c>
      <c r="M376" s="0" t="str">
        <f aca="false">IF(L376=1,N376,"")</f>
        <v/>
      </c>
      <c r="N376" s="0" t="n">
        <f aca="false">N375+L376</f>
        <v>2</v>
      </c>
      <c r="P376" s="0" t="n">
        <f aca="false">IF(AND(Comments!B374='Policy card'!$C$3,Comments!N374="Closed"),1,0)</f>
        <v>0</v>
      </c>
      <c r="Q376" s="0" t="n">
        <f aca="false">Q375+P376</f>
        <v>7</v>
      </c>
    </row>
    <row r="377" customFormat="false" ht="15" hidden="false" customHeight="false" outlineLevel="0" collapsed="false">
      <c r="C377" s="0" t="n">
        <f aca="false">IF(AND(Comments!B375='Policy card'!$C$3,Comments!N375="Open"),1,0)</f>
        <v>0</v>
      </c>
      <c r="D377" s="0" t="str">
        <f aca="false">IF(C377=1,E377,IF(P377=1,$E$2003+Q377,""))</f>
        <v/>
      </c>
      <c r="E377" s="0" t="n">
        <f aca="false">E376+C377</f>
        <v>0</v>
      </c>
      <c r="L377" s="0" t="n">
        <f aca="false">IF(AND(Versions!B375&lt;&gt;"",Versions!B375='Policy card'!$C$3),1,0)</f>
        <v>0</v>
      </c>
      <c r="M377" s="0" t="str">
        <f aca="false">IF(L377=1,N377,"")</f>
        <v/>
      </c>
      <c r="N377" s="0" t="n">
        <f aca="false">N376+L377</f>
        <v>2</v>
      </c>
      <c r="P377" s="0" t="n">
        <f aca="false">IF(AND(Comments!B375='Policy card'!$C$3,Comments!N375="Closed"),1,0)</f>
        <v>0</v>
      </c>
      <c r="Q377" s="0" t="n">
        <f aca="false">Q376+P377</f>
        <v>7</v>
      </c>
    </row>
    <row r="378" customFormat="false" ht="15" hidden="false" customHeight="false" outlineLevel="0" collapsed="false">
      <c r="C378" s="0" t="n">
        <f aca="false">IF(AND(Comments!B376='Policy card'!$C$3,Comments!N376="Open"),1,0)</f>
        <v>0</v>
      </c>
      <c r="D378" s="0" t="str">
        <f aca="false">IF(C378=1,E378,IF(P378=1,$E$2003+Q378,""))</f>
        <v/>
      </c>
      <c r="E378" s="0" t="n">
        <f aca="false">E377+C378</f>
        <v>0</v>
      </c>
      <c r="L378" s="0" t="n">
        <f aca="false">IF(AND(Versions!B376&lt;&gt;"",Versions!B376='Policy card'!$C$3),1,0)</f>
        <v>0</v>
      </c>
      <c r="M378" s="0" t="str">
        <f aca="false">IF(L378=1,N378,"")</f>
        <v/>
      </c>
      <c r="N378" s="0" t="n">
        <f aca="false">N377+L378</f>
        <v>2</v>
      </c>
      <c r="P378" s="0" t="n">
        <f aca="false">IF(AND(Comments!B376='Policy card'!$C$3,Comments!N376="Closed"),1,0)</f>
        <v>0</v>
      </c>
      <c r="Q378" s="0" t="n">
        <f aca="false">Q377+P378</f>
        <v>7</v>
      </c>
    </row>
    <row r="379" customFormat="false" ht="15" hidden="false" customHeight="false" outlineLevel="0" collapsed="false">
      <c r="C379" s="0" t="n">
        <f aca="false">IF(AND(Comments!B377='Policy card'!$C$3,Comments!N377="Open"),1,0)</f>
        <v>0</v>
      </c>
      <c r="D379" s="0" t="str">
        <f aca="false">IF(C379=1,E379,IF(P379=1,$E$2003+Q379,""))</f>
        <v/>
      </c>
      <c r="E379" s="0" t="n">
        <f aca="false">E378+C379</f>
        <v>0</v>
      </c>
      <c r="L379" s="0" t="n">
        <f aca="false">IF(AND(Versions!B377&lt;&gt;"",Versions!B377='Policy card'!$C$3),1,0)</f>
        <v>0</v>
      </c>
      <c r="M379" s="0" t="str">
        <f aca="false">IF(L379=1,N379,"")</f>
        <v/>
      </c>
      <c r="N379" s="0" t="n">
        <f aca="false">N378+L379</f>
        <v>2</v>
      </c>
      <c r="P379" s="0" t="n">
        <f aca="false">IF(AND(Comments!B377='Policy card'!$C$3,Comments!N377="Closed"),1,0)</f>
        <v>0</v>
      </c>
      <c r="Q379" s="0" t="n">
        <f aca="false">Q378+P379</f>
        <v>7</v>
      </c>
    </row>
    <row r="380" customFormat="false" ht="15" hidden="false" customHeight="false" outlineLevel="0" collapsed="false">
      <c r="C380" s="0" t="n">
        <f aca="false">IF(AND(Comments!B378='Policy card'!$C$3,Comments!N378="Open"),1,0)</f>
        <v>0</v>
      </c>
      <c r="D380" s="0" t="str">
        <f aca="false">IF(C380=1,E380,IF(P380=1,$E$2003+Q380,""))</f>
        <v/>
      </c>
      <c r="E380" s="0" t="n">
        <f aca="false">E379+C380</f>
        <v>0</v>
      </c>
      <c r="L380" s="0" t="n">
        <f aca="false">IF(AND(Versions!B378&lt;&gt;"",Versions!B378='Policy card'!$C$3),1,0)</f>
        <v>0</v>
      </c>
      <c r="M380" s="0" t="str">
        <f aca="false">IF(L380=1,N380,"")</f>
        <v/>
      </c>
      <c r="N380" s="0" t="n">
        <f aca="false">N379+L380</f>
        <v>2</v>
      </c>
      <c r="P380" s="0" t="n">
        <f aca="false">IF(AND(Comments!B378='Policy card'!$C$3,Comments!N378="Closed"),1,0)</f>
        <v>0</v>
      </c>
      <c r="Q380" s="0" t="n">
        <f aca="false">Q379+P380</f>
        <v>7</v>
      </c>
    </row>
    <row r="381" customFormat="false" ht="15" hidden="false" customHeight="false" outlineLevel="0" collapsed="false">
      <c r="C381" s="0" t="n">
        <f aca="false">IF(AND(Comments!B379='Policy card'!$C$3,Comments!N379="Open"),1,0)</f>
        <v>0</v>
      </c>
      <c r="D381" s="0" t="str">
        <f aca="false">IF(C381=1,E381,IF(P381=1,$E$2003+Q381,""))</f>
        <v/>
      </c>
      <c r="E381" s="0" t="n">
        <f aca="false">E380+C381</f>
        <v>0</v>
      </c>
      <c r="L381" s="0" t="n">
        <f aca="false">IF(AND(Versions!B379&lt;&gt;"",Versions!B379='Policy card'!$C$3),1,0)</f>
        <v>0</v>
      </c>
      <c r="M381" s="0" t="str">
        <f aca="false">IF(L381=1,N381,"")</f>
        <v/>
      </c>
      <c r="N381" s="0" t="n">
        <f aca="false">N380+L381</f>
        <v>2</v>
      </c>
      <c r="P381" s="0" t="n">
        <f aca="false">IF(AND(Comments!B379='Policy card'!$C$3,Comments!N379="Closed"),1,0)</f>
        <v>0</v>
      </c>
      <c r="Q381" s="0" t="n">
        <f aca="false">Q380+P381</f>
        <v>7</v>
      </c>
    </row>
    <row r="382" customFormat="false" ht="15" hidden="false" customHeight="false" outlineLevel="0" collapsed="false">
      <c r="C382" s="0" t="n">
        <f aca="false">IF(AND(Comments!B380='Policy card'!$C$3,Comments!N380="Open"),1,0)</f>
        <v>0</v>
      </c>
      <c r="D382" s="0" t="str">
        <f aca="false">IF(C382=1,E382,IF(P382=1,$E$2003+Q382,""))</f>
        <v/>
      </c>
      <c r="E382" s="0" t="n">
        <f aca="false">E381+C382</f>
        <v>0</v>
      </c>
      <c r="L382" s="0" t="n">
        <f aca="false">IF(AND(Versions!B380&lt;&gt;"",Versions!B380='Policy card'!$C$3),1,0)</f>
        <v>0</v>
      </c>
      <c r="M382" s="0" t="str">
        <f aca="false">IF(L382=1,N382,"")</f>
        <v/>
      </c>
      <c r="N382" s="0" t="n">
        <f aca="false">N381+L382</f>
        <v>2</v>
      </c>
      <c r="P382" s="0" t="n">
        <f aca="false">IF(AND(Comments!B380='Policy card'!$C$3,Comments!N380="Closed"),1,0)</f>
        <v>0</v>
      </c>
      <c r="Q382" s="0" t="n">
        <f aca="false">Q381+P382</f>
        <v>7</v>
      </c>
    </row>
    <row r="383" customFormat="false" ht="15" hidden="false" customHeight="false" outlineLevel="0" collapsed="false">
      <c r="C383" s="0" t="n">
        <f aca="false">IF(AND(Comments!B381='Policy card'!$C$3,Comments!N381="Open"),1,0)</f>
        <v>0</v>
      </c>
      <c r="D383" s="0" t="str">
        <f aca="false">IF(C383=1,E383,IF(P383=1,$E$2003+Q383,""))</f>
        <v/>
      </c>
      <c r="E383" s="0" t="n">
        <f aca="false">E382+C383</f>
        <v>0</v>
      </c>
      <c r="L383" s="0" t="n">
        <f aca="false">IF(AND(Versions!B381&lt;&gt;"",Versions!B381='Policy card'!$C$3),1,0)</f>
        <v>0</v>
      </c>
      <c r="M383" s="0" t="str">
        <f aca="false">IF(L383=1,N383,"")</f>
        <v/>
      </c>
      <c r="N383" s="0" t="n">
        <f aca="false">N382+L383</f>
        <v>2</v>
      </c>
      <c r="P383" s="0" t="n">
        <f aca="false">IF(AND(Comments!B381='Policy card'!$C$3,Comments!N381="Closed"),1,0)</f>
        <v>0</v>
      </c>
      <c r="Q383" s="0" t="n">
        <f aca="false">Q382+P383</f>
        <v>7</v>
      </c>
    </row>
    <row r="384" customFormat="false" ht="15" hidden="false" customHeight="false" outlineLevel="0" collapsed="false">
      <c r="C384" s="0" t="n">
        <f aca="false">IF(AND(Comments!B382='Policy card'!$C$3,Comments!N382="Open"),1,0)</f>
        <v>0</v>
      </c>
      <c r="D384" s="0" t="str">
        <f aca="false">IF(C384=1,E384,IF(P384=1,$E$2003+Q384,""))</f>
        <v/>
      </c>
      <c r="E384" s="0" t="n">
        <f aca="false">E383+C384</f>
        <v>0</v>
      </c>
      <c r="L384" s="0" t="n">
        <f aca="false">IF(AND(Versions!B382&lt;&gt;"",Versions!B382='Policy card'!$C$3),1,0)</f>
        <v>0</v>
      </c>
      <c r="M384" s="0" t="str">
        <f aca="false">IF(L384=1,N384,"")</f>
        <v/>
      </c>
      <c r="N384" s="0" t="n">
        <f aca="false">N383+L384</f>
        <v>2</v>
      </c>
      <c r="P384" s="0" t="n">
        <f aca="false">IF(AND(Comments!B382='Policy card'!$C$3,Comments!N382="Closed"),1,0)</f>
        <v>0</v>
      </c>
      <c r="Q384" s="0" t="n">
        <f aca="false">Q383+P384</f>
        <v>7</v>
      </c>
    </row>
    <row r="385" customFormat="false" ht="15" hidden="false" customHeight="false" outlineLevel="0" collapsed="false">
      <c r="C385" s="0" t="n">
        <f aca="false">IF(AND(Comments!B383='Policy card'!$C$3,Comments!N383="Open"),1,0)</f>
        <v>0</v>
      </c>
      <c r="D385" s="0" t="str">
        <f aca="false">IF(C385=1,E385,IF(P385=1,$E$2003+Q385,""))</f>
        <v/>
      </c>
      <c r="E385" s="0" t="n">
        <f aca="false">E384+C385</f>
        <v>0</v>
      </c>
      <c r="L385" s="0" t="n">
        <f aca="false">IF(AND(Versions!B383&lt;&gt;"",Versions!B383='Policy card'!$C$3),1,0)</f>
        <v>0</v>
      </c>
      <c r="M385" s="0" t="str">
        <f aca="false">IF(L385=1,N385,"")</f>
        <v/>
      </c>
      <c r="N385" s="0" t="n">
        <f aca="false">N384+L385</f>
        <v>2</v>
      </c>
      <c r="P385" s="0" t="n">
        <f aca="false">IF(AND(Comments!B383='Policy card'!$C$3,Comments!N383="Closed"),1,0)</f>
        <v>0</v>
      </c>
      <c r="Q385" s="0" t="n">
        <f aca="false">Q384+P385</f>
        <v>7</v>
      </c>
    </row>
    <row r="386" customFormat="false" ht="15" hidden="false" customHeight="false" outlineLevel="0" collapsed="false">
      <c r="C386" s="0" t="n">
        <f aca="false">IF(AND(Comments!B384='Policy card'!$C$3,Comments!N384="Open"),1,0)</f>
        <v>0</v>
      </c>
      <c r="D386" s="0" t="str">
        <f aca="false">IF(C386=1,E386,IF(P386=1,$E$2003+Q386,""))</f>
        <v/>
      </c>
      <c r="E386" s="0" t="n">
        <f aca="false">E385+C386</f>
        <v>0</v>
      </c>
      <c r="L386" s="0" t="n">
        <f aca="false">IF(AND(Versions!B384&lt;&gt;"",Versions!B384='Policy card'!$C$3),1,0)</f>
        <v>0</v>
      </c>
      <c r="M386" s="0" t="str">
        <f aca="false">IF(L386=1,N386,"")</f>
        <v/>
      </c>
      <c r="N386" s="0" t="n">
        <f aca="false">N385+L386</f>
        <v>2</v>
      </c>
      <c r="P386" s="0" t="n">
        <f aca="false">IF(AND(Comments!B384='Policy card'!$C$3,Comments!N384="Closed"),1,0)</f>
        <v>0</v>
      </c>
      <c r="Q386" s="0" t="n">
        <f aca="false">Q385+P386</f>
        <v>7</v>
      </c>
    </row>
    <row r="387" customFormat="false" ht="15" hidden="false" customHeight="false" outlineLevel="0" collapsed="false">
      <c r="C387" s="0" t="n">
        <f aca="false">IF(AND(Comments!B385='Policy card'!$C$3,Comments!N385="Open"),1,0)</f>
        <v>0</v>
      </c>
      <c r="D387" s="0" t="str">
        <f aca="false">IF(C387=1,E387,IF(P387=1,$E$2003+Q387,""))</f>
        <v/>
      </c>
      <c r="E387" s="0" t="n">
        <f aca="false">E386+C387</f>
        <v>0</v>
      </c>
      <c r="L387" s="0" t="n">
        <f aca="false">IF(AND(Versions!B385&lt;&gt;"",Versions!B385='Policy card'!$C$3),1,0)</f>
        <v>0</v>
      </c>
      <c r="M387" s="0" t="str">
        <f aca="false">IF(L387=1,N387,"")</f>
        <v/>
      </c>
      <c r="N387" s="0" t="n">
        <f aca="false">N386+L387</f>
        <v>2</v>
      </c>
      <c r="P387" s="0" t="n">
        <f aca="false">IF(AND(Comments!B385='Policy card'!$C$3,Comments!N385="Closed"),1,0)</f>
        <v>0</v>
      </c>
      <c r="Q387" s="0" t="n">
        <f aca="false">Q386+P387</f>
        <v>7</v>
      </c>
    </row>
    <row r="388" customFormat="false" ht="15" hidden="false" customHeight="false" outlineLevel="0" collapsed="false">
      <c r="C388" s="0" t="n">
        <f aca="false">IF(AND(Comments!B386='Policy card'!$C$3,Comments!N386="Open"),1,0)</f>
        <v>0</v>
      </c>
      <c r="D388" s="0" t="str">
        <f aca="false">IF(C388=1,E388,IF(P388=1,$E$2003+Q388,""))</f>
        <v/>
      </c>
      <c r="E388" s="0" t="n">
        <f aca="false">E387+C388</f>
        <v>0</v>
      </c>
      <c r="L388" s="0" t="n">
        <f aca="false">IF(AND(Versions!B386&lt;&gt;"",Versions!B386='Policy card'!$C$3),1,0)</f>
        <v>0</v>
      </c>
      <c r="M388" s="0" t="str">
        <f aca="false">IF(L388=1,N388,"")</f>
        <v/>
      </c>
      <c r="N388" s="0" t="n">
        <f aca="false">N387+L388</f>
        <v>2</v>
      </c>
      <c r="P388" s="0" t="n">
        <f aca="false">IF(AND(Comments!B386='Policy card'!$C$3,Comments!N386="Closed"),1,0)</f>
        <v>0</v>
      </c>
      <c r="Q388" s="0" t="n">
        <f aca="false">Q387+P388</f>
        <v>7</v>
      </c>
    </row>
    <row r="389" customFormat="false" ht="15" hidden="false" customHeight="false" outlineLevel="0" collapsed="false">
      <c r="C389" s="0" t="n">
        <f aca="false">IF(AND(Comments!B387='Policy card'!$C$3,Comments!N387="Open"),1,0)</f>
        <v>0</v>
      </c>
      <c r="D389" s="0" t="str">
        <f aca="false">IF(C389=1,E389,IF(P389=1,$E$2003+Q389,""))</f>
        <v/>
      </c>
      <c r="E389" s="0" t="n">
        <f aca="false">E388+C389</f>
        <v>0</v>
      </c>
      <c r="L389" s="0" t="n">
        <f aca="false">IF(AND(Versions!B387&lt;&gt;"",Versions!B387='Policy card'!$C$3),1,0)</f>
        <v>0</v>
      </c>
      <c r="M389" s="0" t="str">
        <f aca="false">IF(L389=1,N389,"")</f>
        <v/>
      </c>
      <c r="N389" s="0" t="n">
        <f aca="false">N388+L389</f>
        <v>2</v>
      </c>
      <c r="P389" s="0" t="n">
        <f aca="false">IF(AND(Comments!B387='Policy card'!$C$3,Comments!N387="Closed"),1,0)</f>
        <v>0</v>
      </c>
      <c r="Q389" s="0" t="n">
        <f aca="false">Q388+P389</f>
        <v>7</v>
      </c>
    </row>
    <row r="390" customFormat="false" ht="15" hidden="false" customHeight="false" outlineLevel="0" collapsed="false">
      <c r="C390" s="0" t="n">
        <f aca="false">IF(AND(Comments!B388='Policy card'!$C$3,Comments!N388="Open"),1,0)</f>
        <v>0</v>
      </c>
      <c r="D390" s="0" t="str">
        <f aca="false">IF(C390=1,E390,IF(P390=1,$E$2003+Q390,""))</f>
        <v/>
      </c>
      <c r="E390" s="0" t="n">
        <f aca="false">E389+C390</f>
        <v>0</v>
      </c>
      <c r="L390" s="0" t="n">
        <f aca="false">IF(AND(Versions!B388&lt;&gt;"",Versions!B388='Policy card'!$C$3),1,0)</f>
        <v>0</v>
      </c>
      <c r="M390" s="0" t="str">
        <f aca="false">IF(L390=1,N390,"")</f>
        <v/>
      </c>
      <c r="N390" s="0" t="n">
        <f aca="false">N389+L390</f>
        <v>2</v>
      </c>
      <c r="P390" s="0" t="n">
        <f aca="false">IF(AND(Comments!B388='Policy card'!$C$3,Comments!N388="Closed"),1,0)</f>
        <v>0</v>
      </c>
      <c r="Q390" s="0" t="n">
        <f aca="false">Q389+P390</f>
        <v>7</v>
      </c>
    </row>
    <row r="391" customFormat="false" ht="15" hidden="false" customHeight="false" outlineLevel="0" collapsed="false">
      <c r="C391" s="0" t="n">
        <f aca="false">IF(AND(Comments!B389='Policy card'!$C$3,Comments!N389="Open"),1,0)</f>
        <v>0</v>
      </c>
      <c r="D391" s="0" t="str">
        <f aca="false">IF(C391=1,E391,IF(P391=1,$E$2003+Q391,""))</f>
        <v/>
      </c>
      <c r="E391" s="0" t="n">
        <f aca="false">E390+C391</f>
        <v>0</v>
      </c>
      <c r="L391" s="0" t="n">
        <f aca="false">IF(AND(Versions!B389&lt;&gt;"",Versions!B389='Policy card'!$C$3),1,0)</f>
        <v>0</v>
      </c>
      <c r="M391" s="0" t="str">
        <f aca="false">IF(L391=1,N391,"")</f>
        <v/>
      </c>
      <c r="N391" s="0" t="n">
        <f aca="false">N390+L391</f>
        <v>2</v>
      </c>
      <c r="P391" s="0" t="n">
        <f aca="false">IF(AND(Comments!B389='Policy card'!$C$3,Comments!N389="Closed"),1,0)</f>
        <v>0</v>
      </c>
      <c r="Q391" s="0" t="n">
        <f aca="false">Q390+P391</f>
        <v>7</v>
      </c>
    </row>
    <row r="392" customFormat="false" ht="15" hidden="false" customHeight="false" outlineLevel="0" collapsed="false">
      <c r="C392" s="0" t="n">
        <f aca="false">IF(AND(Comments!B390='Policy card'!$C$3,Comments!N390="Open"),1,0)</f>
        <v>0</v>
      </c>
      <c r="D392" s="0" t="str">
        <f aca="false">IF(C392=1,E392,IF(P392=1,$E$2003+Q392,""))</f>
        <v/>
      </c>
      <c r="E392" s="0" t="n">
        <f aca="false">E391+C392</f>
        <v>0</v>
      </c>
      <c r="L392" s="0" t="n">
        <f aca="false">IF(AND(Versions!B390&lt;&gt;"",Versions!B390='Policy card'!$C$3),1,0)</f>
        <v>0</v>
      </c>
      <c r="M392" s="0" t="str">
        <f aca="false">IF(L392=1,N392,"")</f>
        <v/>
      </c>
      <c r="N392" s="0" t="n">
        <f aca="false">N391+L392</f>
        <v>2</v>
      </c>
      <c r="P392" s="0" t="n">
        <f aca="false">IF(AND(Comments!B390='Policy card'!$C$3,Comments!N390="Closed"),1,0)</f>
        <v>0</v>
      </c>
      <c r="Q392" s="0" t="n">
        <f aca="false">Q391+P392</f>
        <v>7</v>
      </c>
    </row>
    <row r="393" customFormat="false" ht="15" hidden="false" customHeight="false" outlineLevel="0" collapsed="false">
      <c r="C393" s="0" t="n">
        <f aca="false">IF(AND(Comments!B391='Policy card'!$C$3,Comments!N391="Open"),1,0)</f>
        <v>0</v>
      </c>
      <c r="D393" s="0" t="str">
        <f aca="false">IF(C393=1,E393,IF(P393=1,$E$2003+Q393,""))</f>
        <v/>
      </c>
      <c r="E393" s="0" t="n">
        <f aca="false">E392+C393</f>
        <v>0</v>
      </c>
      <c r="L393" s="0" t="n">
        <f aca="false">IF(AND(Versions!B391&lt;&gt;"",Versions!B391='Policy card'!$C$3),1,0)</f>
        <v>0</v>
      </c>
      <c r="M393" s="0" t="str">
        <f aca="false">IF(L393=1,N393,"")</f>
        <v/>
      </c>
      <c r="N393" s="0" t="n">
        <f aca="false">N392+L393</f>
        <v>2</v>
      </c>
      <c r="P393" s="0" t="n">
        <f aca="false">IF(AND(Comments!B391='Policy card'!$C$3,Comments!N391="Closed"),1,0)</f>
        <v>0</v>
      </c>
      <c r="Q393" s="0" t="n">
        <f aca="false">Q392+P393</f>
        <v>7</v>
      </c>
    </row>
    <row r="394" customFormat="false" ht="15" hidden="false" customHeight="false" outlineLevel="0" collapsed="false">
      <c r="C394" s="0" t="n">
        <f aca="false">IF(AND(Comments!B392='Policy card'!$C$3,Comments!N392="Open"),1,0)</f>
        <v>0</v>
      </c>
      <c r="D394" s="0" t="str">
        <f aca="false">IF(C394=1,E394,IF(P394=1,$E$2003+Q394,""))</f>
        <v/>
      </c>
      <c r="E394" s="0" t="n">
        <f aca="false">E393+C394</f>
        <v>0</v>
      </c>
      <c r="L394" s="0" t="n">
        <f aca="false">IF(AND(Versions!B392&lt;&gt;"",Versions!B392='Policy card'!$C$3),1,0)</f>
        <v>0</v>
      </c>
      <c r="M394" s="0" t="str">
        <f aca="false">IF(L394=1,N394,"")</f>
        <v/>
      </c>
      <c r="N394" s="0" t="n">
        <f aca="false">N393+L394</f>
        <v>2</v>
      </c>
      <c r="P394" s="0" t="n">
        <f aca="false">IF(AND(Comments!B392='Policy card'!$C$3,Comments!N392="Closed"),1,0)</f>
        <v>0</v>
      </c>
      <c r="Q394" s="0" t="n">
        <f aca="false">Q393+P394</f>
        <v>7</v>
      </c>
    </row>
    <row r="395" customFormat="false" ht="15" hidden="false" customHeight="false" outlineLevel="0" collapsed="false">
      <c r="C395" s="0" t="n">
        <f aca="false">IF(AND(Comments!B393='Policy card'!$C$3,Comments!N393="Open"),1,0)</f>
        <v>0</v>
      </c>
      <c r="D395" s="0" t="str">
        <f aca="false">IF(C395=1,E395,IF(P395=1,$E$2003+Q395,""))</f>
        <v/>
      </c>
      <c r="E395" s="0" t="n">
        <f aca="false">E394+C395</f>
        <v>0</v>
      </c>
      <c r="L395" s="0" t="n">
        <f aca="false">IF(AND(Versions!B393&lt;&gt;"",Versions!B393='Policy card'!$C$3),1,0)</f>
        <v>0</v>
      </c>
      <c r="M395" s="0" t="str">
        <f aca="false">IF(L395=1,N395,"")</f>
        <v/>
      </c>
      <c r="N395" s="0" t="n">
        <f aca="false">N394+L395</f>
        <v>2</v>
      </c>
      <c r="P395" s="0" t="n">
        <f aca="false">IF(AND(Comments!B393='Policy card'!$C$3,Comments!N393="Closed"),1,0)</f>
        <v>0</v>
      </c>
      <c r="Q395" s="0" t="n">
        <f aca="false">Q394+P395</f>
        <v>7</v>
      </c>
    </row>
    <row r="396" customFormat="false" ht="15" hidden="false" customHeight="false" outlineLevel="0" collapsed="false">
      <c r="C396" s="0" t="n">
        <f aca="false">IF(AND(Comments!B394='Policy card'!$C$3,Comments!N394="Open"),1,0)</f>
        <v>0</v>
      </c>
      <c r="D396" s="0" t="str">
        <f aca="false">IF(C396=1,E396,IF(P396=1,$E$2003+Q396,""))</f>
        <v/>
      </c>
      <c r="E396" s="0" t="n">
        <f aca="false">E395+C396</f>
        <v>0</v>
      </c>
      <c r="L396" s="0" t="n">
        <f aca="false">IF(AND(Versions!B394&lt;&gt;"",Versions!B394='Policy card'!$C$3),1,0)</f>
        <v>0</v>
      </c>
      <c r="M396" s="0" t="str">
        <f aca="false">IF(L396=1,N396,"")</f>
        <v/>
      </c>
      <c r="N396" s="0" t="n">
        <f aca="false">N395+L396</f>
        <v>2</v>
      </c>
      <c r="P396" s="0" t="n">
        <f aca="false">IF(AND(Comments!B394='Policy card'!$C$3,Comments!N394="Closed"),1,0)</f>
        <v>0</v>
      </c>
      <c r="Q396" s="0" t="n">
        <f aca="false">Q395+P396</f>
        <v>7</v>
      </c>
    </row>
    <row r="397" customFormat="false" ht="15" hidden="false" customHeight="false" outlineLevel="0" collapsed="false">
      <c r="C397" s="0" t="n">
        <f aca="false">IF(AND(Comments!B395='Policy card'!$C$3,Comments!N395="Open"),1,0)</f>
        <v>0</v>
      </c>
      <c r="D397" s="0" t="str">
        <f aca="false">IF(C397=1,E397,IF(P397=1,$E$2003+Q397,""))</f>
        <v/>
      </c>
      <c r="E397" s="0" t="n">
        <f aca="false">E396+C397</f>
        <v>0</v>
      </c>
      <c r="L397" s="0" t="n">
        <f aca="false">IF(AND(Versions!B395&lt;&gt;"",Versions!B395='Policy card'!$C$3),1,0)</f>
        <v>0</v>
      </c>
      <c r="M397" s="0" t="str">
        <f aca="false">IF(L397=1,N397,"")</f>
        <v/>
      </c>
      <c r="N397" s="0" t="n">
        <f aca="false">N396+L397</f>
        <v>2</v>
      </c>
      <c r="P397" s="0" t="n">
        <f aca="false">IF(AND(Comments!B395='Policy card'!$C$3,Comments!N395="Closed"),1,0)</f>
        <v>0</v>
      </c>
      <c r="Q397" s="0" t="n">
        <f aca="false">Q396+P397</f>
        <v>7</v>
      </c>
    </row>
    <row r="398" customFormat="false" ht="15" hidden="false" customHeight="false" outlineLevel="0" collapsed="false">
      <c r="C398" s="0" t="n">
        <f aca="false">IF(AND(Comments!B396='Policy card'!$C$3,Comments!N396="Open"),1,0)</f>
        <v>0</v>
      </c>
      <c r="D398" s="0" t="str">
        <f aca="false">IF(C398=1,E398,IF(P398=1,$E$2003+Q398,""))</f>
        <v/>
      </c>
      <c r="E398" s="0" t="n">
        <f aca="false">E397+C398</f>
        <v>0</v>
      </c>
      <c r="L398" s="0" t="n">
        <f aca="false">IF(AND(Versions!B396&lt;&gt;"",Versions!B396='Policy card'!$C$3),1,0)</f>
        <v>0</v>
      </c>
      <c r="M398" s="0" t="str">
        <f aca="false">IF(L398=1,N398,"")</f>
        <v/>
      </c>
      <c r="N398" s="0" t="n">
        <f aca="false">N397+L398</f>
        <v>2</v>
      </c>
      <c r="P398" s="0" t="n">
        <f aca="false">IF(AND(Comments!B396='Policy card'!$C$3,Comments!N396="Closed"),1,0)</f>
        <v>0</v>
      </c>
      <c r="Q398" s="0" t="n">
        <f aca="false">Q397+P398</f>
        <v>7</v>
      </c>
    </row>
    <row r="399" customFormat="false" ht="15" hidden="false" customHeight="false" outlineLevel="0" collapsed="false">
      <c r="C399" s="0" t="n">
        <f aca="false">IF(AND(Comments!B397='Policy card'!$C$3,Comments!N397="Open"),1,0)</f>
        <v>0</v>
      </c>
      <c r="D399" s="0" t="str">
        <f aca="false">IF(C399=1,E399,IF(P399=1,$E$2003+Q399,""))</f>
        <v/>
      </c>
      <c r="E399" s="0" t="n">
        <f aca="false">E398+C399</f>
        <v>0</v>
      </c>
      <c r="L399" s="0" t="n">
        <f aca="false">IF(AND(Versions!B397&lt;&gt;"",Versions!B397='Policy card'!$C$3),1,0)</f>
        <v>0</v>
      </c>
      <c r="M399" s="0" t="str">
        <f aca="false">IF(L399=1,N399,"")</f>
        <v/>
      </c>
      <c r="N399" s="0" t="n">
        <f aca="false">N398+L399</f>
        <v>2</v>
      </c>
      <c r="P399" s="0" t="n">
        <f aca="false">IF(AND(Comments!B397='Policy card'!$C$3,Comments!N397="Closed"),1,0)</f>
        <v>0</v>
      </c>
      <c r="Q399" s="0" t="n">
        <f aca="false">Q398+P399</f>
        <v>7</v>
      </c>
    </row>
    <row r="400" customFormat="false" ht="15" hidden="false" customHeight="false" outlineLevel="0" collapsed="false">
      <c r="C400" s="0" t="n">
        <f aca="false">IF(AND(Comments!B398='Policy card'!$C$3,Comments!N398="Open"),1,0)</f>
        <v>0</v>
      </c>
      <c r="D400" s="0" t="str">
        <f aca="false">IF(C400=1,E400,IF(P400=1,$E$2003+Q400,""))</f>
        <v/>
      </c>
      <c r="E400" s="0" t="n">
        <f aca="false">E399+C400</f>
        <v>0</v>
      </c>
      <c r="L400" s="0" t="n">
        <f aca="false">IF(AND(Versions!B398&lt;&gt;"",Versions!B398='Policy card'!$C$3),1,0)</f>
        <v>0</v>
      </c>
      <c r="M400" s="0" t="str">
        <f aca="false">IF(L400=1,N400,"")</f>
        <v/>
      </c>
      <c r="N400" s="0" t="n">
        <f aca="false">N399+L400</f>
        <v>2</v>
      </c>
      <c r="P400" s="0" t="n">
        <f aca="false">IF(AND(Comments!B398='Policy card'!$C$3,Comments!N398="Closed"),1,0)</f>
        <v>0</v>
      </c>
      <c r="Q400" s="0" t="n">
        <f aca="false">Q399+P400</f>
        <v>7</v>
      </c>
    </row>
    <row r="401" customFormat="false" ht="15" hidden="false" customHeight="false" outlineLevel="0" collapsed="false">
      <c r="C401" s="0" t="n">
        <f aca="false">IF(AND(Comments!B399='Policy card'!$C$3,Comments!N399="Open"),1,0)</f>
        <v>0</v>
      </c>
      <c r="D401" s="0" t="str">
        <f aca="false">IF(C401=1,E401,IF(P401=1,$E$2003+Q401,""))</f>
        <v/>
      </c>
      <c r="E401" s="0" t="n">
        <f aca="false">E400+C401</f>
        <v>0</v>
      </c>
      <c r="L401" s="0" t="n">
        <f aca="false">IF(AND(Versions!B399&lt;&gt;"",Versions!B399='Policy card'!$C$3),1,0)</f>
        <v>0</v>
      </c>
      <c r="M401" s="0" t="str">
        <f aca="false">IF(L401=1,N401,"")</f>
        <v/>
      </c>
      <c r="N401" s="0" t="n">
        <f aca="false">N400+L401</f>
        <v>2</v>
      </c>
      <c r="P401" s="0" t="n">
        <f aca="false">IF(AND(Comments!B399='Policy card'!$C$3,Comments!N399="Closed"),1,0)</f>
        <v>0</v>
      </c>
      <c r="Q401" s="0" t="n">
        <f aca="false">Q400+P401</f>
        <v>7</v>
      </c>
    </row>
    <row r="402" customFormat="false" ht="15" hidden="false" customHeight="false" outlineLevel="0" collapsed="false">
      <c r="C402" s="0" t="n">
        <f aca="false">IF(AND(Comments!B400='Policy card'!$C$3,Comments!N400="Open"),1,0)</f>
        <v>0</v>
      </c>
      <c r="D402" s="0" t="str">
        <f aca="false">IF(C402=1,E402,IF(P402=1,$E$2003+Q402,""))</f>
        <v/>
      </c>
      <c r="E402" s="0" t="n">
        <f aca="false">E401+C402</f>
        <v>0</v>
      </c>
      <c r="L402" s="0" t="n">
        <f aca="false">IF(AND(Versions!B400&lt;&gt;"",Versions!B400='Policy card'!$C$3),1,0)</f>
        <v>0</v>
      </c>
      <c r="M402" s="0" t="str">
        <f aca="false">IF(L402=1,N402,"")</f>
        <v/>
      </c>
      <c r="N402" s="0" t="n">
        <f aca="false">N401+L402</f>
        <v>2</v>
      </c>
      <c r="P402" s="0" t="n">
        <f aca="false">IF(AND(Comments!B400='Policy card'!$C$3,Comments!N400="Closed"),1,0)</f>
        <v>0</v>
      </c>
      <c r="Q402" s="0" t="n">
        <f aca="false">Q401+P402</f>
        <v>7</v>
      </c>
    </row>
    <row r="403" customFormat="false" ht="15" hidden="false" customHeight="false" outlineLevel="0" collapsed="false">
      <c r="C403" s="0" t="n">
        <f aca="false">IF(AND(Comments!B401='Policy card'!$C$3,Comments!N401="Open"),1,0)</f>
        <v>0</v>
      </c>
      <c r="D403" s="0" t="str">
        <f aca="false">IF(C403=1,E403,IF(P403=1,$E$2003+Q403,""))</f>
        <v/>
      </c>
      <c r="E403" s="0" t="n">
        <f aca="false">E402+C403</f>
        <v>0</v>
      </c>
      <c r="L403" s="0" t="n">
        <f aca="false">IF(AND(Versions!B401&lt;&gt;"",Versions!B401='Policy card'!$C$3),1,0)</f>
        <v>0</v>
      </c>
      <c r="M403" s="0" t="str">
        <f aca="false">IF(L403=1,N403,"")</f>
        <v/>
      </c>
      <c r="N403" s="0" t="n">
        <f aca="false">N402+L403</f>
        <v>2</v>
      </c>
      <c r="P403" s="0" t="n">
        <f aca="false">IF(AND(Comments!B401='Policy card'!$C$3,Comments!N401="Closed"),1,0)</f>
        <v>0</v>
      </c>
      <c r="Q403" s="0" t="n">
        <f aca="false">Q402+P403</f>
        <v>7</v>
      </c>
    </row>
    <row r="404" customFormat="false" ht="15" hidden="false" customHeight="false" outlineLevel="0" collapsed="false">
      <c r="C404" s="0" t="n">
        <f aca="false">IF(AND(Comments!B402='Policy card'!$C$3,Comments!N402="Open"),1,0)</f>
        <v>0</v>
      </c>
      <c r="D404" s="0" t="str">
        <f aca="false">IF(C404=1,E404,IF(P404=1,$E$2003+Q404,""))</f>
        <v/>
      </c>
      <c r="E404" s="0" t="n">
        <f aca="false">E403+C404</f>
        <v>0</v>
      </c>
      <c r="L404" s="0" t="n">
        <f aca="false">IF(AND(Versions!B402&lt;&gt;"",Versions!B402='Policy card'!$C$3),1,0)</f>
        <v>0</v>
      </c>
      <c r="M404" s="0" t="str">
        <f aca="false">IF(L404=1,N404,"")</f>
        <v/>
      </c>
      <c r="N404" s="0" t="n">
        <f aca="false">N403+L404</f>
        <v>2</v>
      </c>
      <c r="P404" s="0" t="n">
        <f aca="false">IF(AND(Comments!B402='Policy card'!$C$3,Comments!N402="Closed"),1,0)</f>
        <v>0</v>
      </c>
      <c r="Q404" s="0" t="n">
        <f aca="false">Q403+P404</f>
        <v>7</v>
      </c>
    </row>
    <row r="405" customFormat="false" ht="15" hidden="false" customHeight="false" outlineLevel="0" collapsed="false">
      <c r="C405" s="0" t="n">
        <f aca="false">IF(AND(Comments!B403='Policy card'!$C$3,Comments!N403="Open"),1,0)</f>
        <v>0</v>
      </c>
      <c r="D405" s="0" t="str">
        <f aca="false">IF(C405=1,E405,IF(P405=1,$E$2003+Q405,""))</f>
        <v/>
      </c>
      <c r="E405" s="0" t="n">
        <f aca="false">E404+C405</f>
        <v>0</v>
      </c>
      <c r="L405" s="0" t="n">
        <f aca="false">IF(AND(Versions!B403&lt;&gt;"",Versions!B403='Policy card'!$C$3),1,0)</f>
        <v>0</v>
      </c>
      <c r="M405" s="0" t="str">
        <f aca="false">IF(L405=1,N405,"")</f>
        <v/>
      </c>
      <c r="N405" s="0" t="n">
        <f aca="false">N404+L405</f>
        <v>2</v>
      </c>
      <c r="P405" s="0" t="n">
        <f aca="false">IF(AND(Comments!B403='Policy card'!$C$3,Comments!N403="Closed"),1,0)</f>
        <v>0</v>
      </c>
      <c r="Q405" s="0" t="n">
        <f aca="false">Q404+P405</f>
        <v>7</v>
      </c>
    </row>
    <row r="406" customFormat="false" ht="15" hidden="false" customHeight="false" outlineLevel="0" collapsed="false">
      <c r="C406" s="0" t="n">
        <f aca="false">IF(AND(Comments!B404='Policy card'!$C$3,Comments!N404="Open"),1,0)</f>
        <v>0</v>
      </c>
      <c r="D406" s="0" t="str">
        <f aca="false">IF(C406=1,E406,IF(P406=1,$E$2003+Q406,""))</f>
        <v/>
      </c>
      <c r="E406" s="0" t="n">
        <f aca="false">E405+C406</f>
        <v>0</v>
      </c>
      <c r="L406" s="0" t="n">
        <f aca="false">IF(AND(Versions!B404&lt;&gt;"",Versions!B404='Policy card'!$C$3),1,0)</f>
        <v>0</v>
      </c>
      <c r="M406" s="0" t="str">
        <f aca="false">IF(L406=1,N406,"")</f>
        <v/>
      </c>
      <c r="N406" s="0" t="n">
        <f aca="false">N405+L406</f>
        <v>2</v>
      </c>
      <c r="P406" s="0" t="n">
        <f aca="false">IF(AND(Comments!B404='Policy card'!$C$3,Comments!N404="Closed"),1,0)</f>
        <v>0</v>
      </c>
      <c r="Q406" s="0" t="n">
        <f aca="false">Q405+P406</f>
        <v>7</v>
      </c>
    </row>
    <row r="407" customFormat="false" ht="15" hidden="false" customHeight="false" outlineLevel="0" collapsed="false">
      <c r="C407" s="0" t="n">
        <f aca="false">IF(AND(Comments!B405='Policy card'!$C$3,Comments!N405="Open"),1,0)</f>
        <v>0</v>
      </c>
      <c r="D407" s="0" t="str">
        <f aca="false">IF(C407=1,E407,IF(P407=1,$E$2003+Q407,""))</f>
        <v/>
      </c>
      <c r="E407" s="0" t="n">
        <f aca="false">E406+C407</f>
        <v>0</v>
      </c>
      <c r="L407" s="0" t="n">
        <f aca="false">IF(AND(Versions!B405&lt;&gt;"",Versions!B405='Policy card'!$C$3),1,0)</f>
        <v>0</v>
      </c>
      <c r="M407" s="0" t="str">
        <f aca="false">IF(L407=1,N407,"")</f>
        <v/>
      </c>
      <c r="N407" s="0" t="n">
        <f aca="false">N406+L407</f>
        <v>2</v>
      </c>
      <c r="P407" s="0" t="n">
        <f aca="false">IF(AND(Comments!B405='Policy card'!$C$3,Comments!N405="Closed"),1,0)</f>
        <v>0</v>
      </c>
      <c r="Q407" s="0" t="n">
        <f aca="false">Q406+P407</f>
        <v>7</v>
      </c>
    </row>
    <row r="408" customFormat="false" ht="15" hidden="false" customHeight="false" outlineLevel="0" collapsed="false">
      <c r="C408" s="0" t="n">
        <f aca="false">IF(AND(Comments!B406='Policy card'!$C$3,Comments!N406="Open"),1,0)</f>
        <v>0</v>
      </c>
      <c r="D408" s="0" t="str">
        <f aca="false">IF(C408=1,E408,IF(P408=1,$E$2003+Q408,""))</f>
        <v/>
      </c>
      <c r="E408" s="0" t="n">
        <f aca="false">E407+C408</f>
        <v>0</v>
      </c>
      <c r="L408" s="0" t="n">
        <f aca="false">IF(AND(Versions!B406&lt;&gt;"",Versions!B406='Policy card'!$C$3),1,0)</f>
        <v>0</v>
      </c>
      <c r="M408" s="0" t="str">
        <f aca="false">IF(L408=1,N408,"")</f>
        <v/>
      </c>
      <c r="N408" s="0" t="n">
        <f aca="false">N407+L408</f>
        <v>2</v>
      </c>
      <c r="P408" s="0" t="n">
        <f aca="false">IF(AND(Comments!B406='Policy card'!$C$3,Comments!N406="Closed"),1,0)</f>
        <v>0</v>
      </c>
      <c r="Q408" s="0" t="n">
        <f aca="false">Q407+P408</f>
        <v>7</v>
      </c>
    </row>
    <row r="409" customFormat="false" ht="15" hidden="false" customHeight="false" outlineLevel="0" collapsed="false">
      <c r="C409" s="0" t="n">
        <f aca="false">IF(AND(Comments!B407='Policy card'!$C$3,Comments!N407="Open"),1,0)</f>
        <v>0</v>
      </c>
      <c r="D409" s="0" t="str">
        <f aca="false">IF(C409=1,E409,IF(P409=1,$E$2003+Q409,""))</f>
        <v/>
      </c>
      <c r="E409" s="0" t="n">
        <f aca="false">E408+C409</f>
        <v>0</v>
      </c>
      <c r="L409" s="0" t="n">
        <f aca="false">IF(AND(Versions!B407&lt;&gt;"",Versions!B407='Policy card'!$C$3),1,0)</f>
        <v>0</v>
      </c>
      <c r="M409" s="0" t="str">
        <f aca="false">IF(L409=1,N409,"")</f>
        <v/>
      </c>
      <c r="N409" s="0" t="n">
        <f aca="false">N408+L409</f>
        <v>2</v>
      </c>
      <c r="P409" s="0" t="n">
        <f aca="false">IF(AND(Comments!B407='Policy card'!$C$3,Comments!N407="Closed"),1,0)</f>
        <v>0</v>
      </c>
      <c r="Q409" s="0" t="n">
        <f aca="false">Q408+P409</f>
        <v>7</v>
      </c>
    </row>
    <row r="410" customFormat="false" ht="15" hidden="false" customHeight="false" outlineLevel="0" collapsed="false">
      <c r="C410" s="0" t="n">
        <f aca="false">IF(AND(Comments!B408='Policy card'!$C$3,Comments!N408="Open"),1,0)</f>
        <v>0</v>
      </c>
      <c r="D410" s="0" t="str">
        <f aca="false">IF(C410=1,E410,IF(P410=1,$E$2003+Q410,""))</f>
        <v/>
      </c>
      <c r="E410" s="0" t="n">
        <f aca="false">E409+C410</f>
        <v>0</v>
      </c>
      <c r="L410" s="0" t="n">
        <f aca="false">IF(AND(Versions!B408&lt;&gt;"",Versions!B408='Policy card'!$C$3),1,0)</f>
        <v>0</v>
      </c>
      <c r="M410" s="0" t="str">
        <f aca="false">IF(L410=1,N410,"")</f>
        <v/>
      </c>
      <c r="N410" s="0" t="n">
        <f aca="false">N409+L410</f>
        <v>2</v>
      </c>
      <c r="P410" s="0" t="n">
        <f aca="false">IF(AND(Comments!B408='Policy card'!$C$3,Comments!N408="Closed"),1,0)</f>
        <v>0</v>
      </c>
      <c r="Q410" s="0" t="n">
        <f aca="false">Q409+P410</f>
        <v>7</v>
      </c>
    </row>
    <row r="411" customFormat="false" ht="15" hidden="false" customHeight="false" outlineLevel="0" collapsed="false">
      <c r="C411" s="0" t="n">
        <f aca="false">IF(AND(Comments!B409='Policy card'!$C$3,Comments!N409="Open"),1,0)</f>
        <v>0</v>
      </c>
      <c r="D411" s="0" t="str">
        <f aca="false">IF(C411=1,E411,IF(P411=1,$E$2003+Q411,""))</f>
        <v/>
      </c>
      <c r="E411" s="0" t="n">
        <f aca="false">E410+C411</f>
        <v>0</v>
      </c>
      <c r="L411" s="0" t="n">
        <f aca="false">IF(AND(Versions!B409&lt;&gt;"",Versions!B409='Policy card'!$C$3),1,0)</f>
        <v>0</v>
      </c>
      <c r="M411" s="0" t="str">
        <f aca="false">IF(L411=1,N411,"")</f>
        <v/>
      </c>
      <c r="N411" s="0" t="n">
        <f aca="false">N410+L411</f>
        <v>2</v>
      </c>
      <c r="P411" s="0" t="n">
        <f aca="false">IF(AND(Comments!B409='Policy card'!$C$3,Comments!N409="Closed"),1,0)</f>
        <v>0</v>
      </c>
      <c r="Q411" s="0" t="n">
        <f aca="false">Q410+P411</f>
        <v>7</v>
      </c>
    </row>
    <row r="412" customFormat="false" ht="15" hidden="false" customHeight="false" outlineLevel="0" collapsed="false">
      <c r="C412" s="0" t="n">
        <f aca="false">IF(AND(Comments!B410='Policy card'!$C$3,Comments!N410="Open"),1,0)</f>
        <v>0</v>
      </c>
      <c r="D412" s="0" t="str">
        <f aca="false">IF(C412=1,E412,IF(P412=1,$E$2003+Q412,""))</f>
        <v/>
      </c>
      <c r="E412" s="0" t="n">
        <f aca="false">E411+C412</f>
        <v>0</v>
      </c>
      <c r="L412" s="0" t="n">
        <f aca="false">IF(AND(Versions!B410&lt;&gt;"",Versions!B410='Policy card'!$C$3),1,0)</f>
        <v>0</v>
      </c>
      <c r="M412" s="0" t="str">
        <f aca="false">IF(L412=1,N412,"")</f>
        <v/>
      </c>
      <c r="N412" s="0" t="n">
        <f aca="false">N411+L412</f>
        <v>2</v>
      </c>
      <c r="P412" s="0" t="n">
        <f aca="false">IF(AND(Comments!B410='Policy card'!$C$3,Comments!N410="Closed"),1,0)</f>
        <v>0</v>
      </c>
      <c r="Q412" s="0" t="n">
        <f aca="false">Q411+P412</f>
        <v>7</v>
      </c>
    </row>
    <row r="413" customFormat="false" ht="15" hidden="false" customHeight="false" outlineLevel="0" collapsed="false">
      <c r="C413" s="0" t="n">
        <f aca="false">IF(AND(Comments!B411='Policy card'!$C$3,Comments!N411="Open"),1,0)</f>
        <v>0</v>
      </c>
      <c r="D413" s="0" t="str">
        <f aca="false">IF(C413=1,E413,IF(P413=1,$E$2003+Q413,""))</f>
        <v/>
      </c>
      <c r="E413" s="0" t="n">
        <f aca="false">E412+C413</f>
        <v>0</v>
      </c>
      <c r="L413" s="0" t="n">
        <f aca="false">IF(AND(Versions!B411&lt;&gt;"",Versions!B411='Policy card'!$C$3),1,0)</f>
        <v>0</v>
      </c>
      <c r="M413" s="0" t="str">
        <f aca="false">IF(L413=1,N413,"")</f>
        <v/>
      </c>
      <c r="N413" s="0" t="n">
        <f aca="false">N412+L413</f>
        <v>2</v>
      </c>
      <c r="P413" s="0" t="n">
        <f aca="false">IF(AND(Comments!B411='Policy card'!$C$3,Comments!N411="Closed"),1,0)</f>
        <v>0</v>
      </c>
      <c r="Q413" s="0" t="n">
        <f aca="false">Q412+P413</f>
        <v>7</v>
      </c>
    </row>
    <row r="414" customFormat="false" ht="15" hidden="false" customHeight="false" outlineLevel="0" collapsed="false">
      <c r="C414" s="0" t="n">
        <f aca="false">IF(AND(Comments!B412='Policy card'!$C$3,Comments!N412="Open"),1,0)</f>
        <v>0</v>
      </c>
      <c r="D414" s="0" t="str">
        <f aca="false">IF(C414=1,E414,IF(P414=1,$E$2003+Q414,""))</f>
        <v/>
      </c>
      <c r="E414" s="0" t="n">
        <f aca="false">E413+C414</f>
        <v>0</v>
      </c>
      <c r="L414" s="0" t="n">
        <f aca="false">IF(AND(Versions!B412&lt;&gt;"",Versions!B412='Policy card'!$C$3),1,0)</f>
        <v>0</v>
      </c>
      <c r="M414" s="0" t="str">
        <f aca="false">IF(L414=1,N414,"")</f>
        <v/>
      </c>
      <c r="N414" s="0" t="n">
        <f aca="false">N413+L414</f>
        <v>2</v>
      </c>
      <c r="P414" s="0" t="n">
        <f aca="false">IF(AND(Comments!B412='Policy card'!$C$3,Comments!N412="Closed"),1,0)</f>
        <v>0</v>
      </c>
      <c r="Q414" s="0" t="n">
        <f aca="false">Q413+P414</f>
        <v>7</v>
      </c>
    </row>
    <row r="415" customFormat="false" ht="15" hidden="false" customHeight="false" outlineLevel="0" collapsed="false">
      <c r="C415" s="0" t="n">
        <f aca="false">IF(AND(Comments!B413='Policy card'!$C$3,Comments!N413="Open"),1,0)</f>
        <v>0</v>
      </c>
      <c r="D415" s="0" t="str">
        <f aca="false">IF(C415=1,E415,IF(P415=1,$E$2003+Q415,""))</f>
        <v/>
      </c>
      <c r="E415" s="0" t="n">
        <f aca="false">E414+C415</f>
        <v>0</v>
      </c>
      <c r="L415" s="0" t="n">
        <f aca="false">IF(AND(Versions!B413&lt;&gt;"",Versions!B413='Policy card'!$C$3),1,0)</f>
        <v>0</v>
      </c>
      <c r="M415" s="0" t="str">
        <f aca="false">IF(L415=1,N415,"")</f>
        <v/>
      </c>
      <c r="N415" s="0" t="n">
        <f aca="false">N414+L415</f>
        <v>2</v>
      </c>
      <c r="P415" s="0" t="n">
        <f aca="false">IF(AND(Comments!B413='Policy card'!$C$3,Comments!N413="Closed"),1,0)</f>
        <v>0</v>
      </c>
      <c r="Q415" s="0" t="n">
        <f aca="false">Q414+P415</f>
        <v>7</v>
      </c>
    </row>
    <row r="416" customFormat="false" ht="15" hidden="false" customHeight="false" outlineLevel="0" collapsed="false">
      <c r="C416" s="0" t="n">
        <f aca="false">IF(AND(Comments!B414='Policy card'!$C$3,Comments!N414="Open"),1,0)</f>
        <v>0</v>
      </c>
      <c r="D416" s="0" t="str">
        <f aca="false">IF(C416=1,E416,IF(P416=1,$E$2003+Q416,""))</f>
        <v/>
      </c>
      <c r="E416" s="0" t="n">
        <f aca="false">E415+C416</f>
        <v>0</v>
      </c>
      <c r="L416" s="0" t="n">
        <f aca="false">IF(AND(Versions!B414&lt;&gt;"",Versions!B414='Policy card'!$C$3),1,0)</f>
        <v>0</v>
      </c>
      <c r="M416" s="0" t="str">
        <f aca="false">IF(L416=1,N416,"")</f>
        <v/>
      </c>
      <c r="N416" s="0" t="n">
        <f aca="false">N415+L416</f>
        <v>2</v>
      </c>
      <c r="P416" s="0" t="n">
        <f aca="false">IF(AND(Comments!B414='Policy card'!$C$3,Comments!N414="Closed"),1,0)</f>
        <v>0</v>
      </c>
      <c r="Q416" s="0" t="n">
        <f aca="false">Q415+P416</f>
        <v>7</v>
      </c>
    </row>
    <row r="417" customFormat="false" ht="15" hidden="false" customHeight="false" outlineLevel="0" collapsed="false">
      <c r="C417" s="0" t="n">
        <f aca="false">IF(AND(Comments!B415='Policy card'!$C$3,Comments!N415="Open"),1,0)</f>
        <v>0</v>
      </c>
      <c r="D417" s="0" t="str">
        <f aca="false">IF(C417=1,E417,IF(P417=1,$E$2003+Q417,""))</f>
        <v/>
      </c>
      <c r="E417" s="0" t="n">
        <f aca="false">E416+C417</f>
        <v>0</v>
      </c>
      <c r="L417" s="0" t="n">
        <f aca="false">IF(AND(Versions!B415&lt;&gt;"",Versions!B415='Policy card'!$C$3),1,0)</f>
        <v>0</v>
      </c>
      <c r="M417" s="0" t="str">
        <f aca="false">IF(L417=1,N417,"")</f>
        <v/>
      </c>
      <c r="N417" s="0" t="n">
        <f aca="false">N416+L417</f>
        <v>2</v>
      </c>
      <c r="P417" s="0" t="n">
        <f aca="false">IF(AND(Comments!B415='Policy card'!$C$3,Comments!N415="Closed"),1,0)</f>
        <v>0</v>
      </c>
      <c r="Q417" s="0" t="n">
        <f aca="false">Q416+P417</f>
        <v>7</v>
      </c>
    </row>
    <row r="418" customFormat="false" ht="15" hidden="false" customHeight="false" outlineLevel="0" collapsed="false">
      <c r="C418" s="0" t="n">
        <f aca="false">IF(AND(Comments!B416='Policy card'!$C$3,Comments!N416="Open"),1,0)</f>
        <v>0</v>
      </c>
      <c r="D418" s="0" t="str">
        <f aca="false">IF(C418=1,E418,IF(P418=1,$E$2003+Q418,""))</f>
        <v/>
      </c>
      <c r="E418" s="0" t="n">
        <f aca="false">E417+C418</f>
        <v>0</v>
      </c>
      <c r="L418" s="0" t="n">
        <f aca="false">IF(AND(Versions!B416&lt;&gt;"",Versions!B416='Policy card'!$C$3),1,0)</f>
        <v>0</v>
      </c>
      <c r="M418" s="0" t="str">
        <f aca="false">IF(L418=1,N418,"")</f>
        <v/>
      </c>
      <c r="N418" s="0" t="n">
        <f aca="false">N417+L418</f>
        <v>2</v>
      </c>
      <c r="P418" s="0" t="n">
        <f aca="false">IF(AND(Comments!B416='Policy card'!$C$3,Comments!N416="Closed"),1,0)</f>
        <v>0</v>
      </c>
      <c r="Q418" s="0" t="n">
        <f aca="false">Q417+P418</f>
        <v>7</v>
      </c>
    </row>
    <row r="419" customFormat="false" ht="15" hidden="false" customHeight="false" outlineLevel="0" collapsed="false">
      <c r="C419" s="0" t="n">
        <f aca="false">IF(AND(Comments!B417='Policy card'!$C$3,Comments!N417="Open"),1,0)</f>
        <v>0</v>
      </c>
      <c r="D419" s="0" t="str">
        <f aca="false">IF(C419=1,E419,IF(P419=1,$E$2003+Q419,""))</f>
        <v/>
      </c>
      <c r="E419" s="0" t="n">
        <f aca="false">E418+C419</f>
        <v>0</v>
      </c>
      <c r="L419" s="0" t="n">
        <f aca="false">IF(AND(Versions!B417&lt;&gt;"",Versions!B417='Policy card'!$C$3),1,0)</f>
        <v>0</v>
      </c>
      <c r="M419" s="0" t="str">
        <f aca="false">IF(L419=1,N419,"")</f>
        <v/>
      </c>
      <c r="N419" s="0" t="n">
        <f aca="false">N418+L419</f>
        <v>2</v>
      </c>
      <c r="P419" s="0" t="n">
        <f aca="false">IF(AND(Comments!B417='Policy card'!$C$3,Comments!N417="Closed"),1,0)</f>
        <v>0</v>
      </c>
      <c r="Q419" s="0" t="n">
        <f aca="false">Q418+P419</f>
        <v>7</v>
      </c>
    </row>
    <row r="420" customFormat="false" ht="15" hidden="false" customHeight="false" outlineLevel="0" collapsed="false">
      <c r="C420" s="0" t="n">
        <f aca="false">IF(AND(Comments!B418='Policy card'!$C$3,Comments!N418="Open"),1,0)</f>
        <v>0</v>
      </c>
      <c r="D420" s="0" t="str">
        <f aca="false">IF(C420=1,E420,IF(P420=1,$E$2003+Q420,""))</f>
        <v/>
      </c>
      <c r="E420" s="0" t="n">
        <f aca="false">E419+C420</f>
        <v>0</v>
      </c>
      <c r="L420" s="0" t="n">
        <f aca="false">IF(AND(Versions!B418&lt;&gt;"",Versions!B418='Policy card'!$C$3),1,0)</f>
        <v>0</v>
      </c>
      <c r="M420" s="0" t="str">
        <f aca="false">IF(L420=1,N420,"")</f>
        <v/>
      </c>
      <c r="N420" s="0" t="n">
        <f aca="false">N419+L420</f>
        <v>2</v>
      </c>
      <c r="P420" s="0" t="n">
        <f aca="false">IF(AND(Comments!B418='Policy card'!$C$3,Comments!N418="Closed"),1,0)</f>
        <v>0</v>
      </c>
      <c r="Q420" s="0" t="n">
        <f aca="false">Q419+P420</f>
        <v>7</v>
      </c>
    </row>
    <row r="421" customFormat="false" ht="15" hidden="false" customHeight="false" outlineLevel="0" collapsed="false">
      <c r="C421" s="0" t="n">
        <f aca="false">IF(AND(Comments!B419='Policy card'!$C$3,Comments!N419="Open"),1,0)</f>
        <v>0</v>
      </c>
      <c r="D421" s="0" t="str">
        <f aca="false">IF(C421=1,E421,IF(P421=1,$E$2003+Q421,""))</f>
        <v/>
      </c>
      <c r="E421" s="0" t="n">
        <f aca="false">E420+C421</f>
        <v>0</v>
      </c>
      <c r="L421" s="0" t="n">
        <f aca="false">IF(AND(Versions!B419&lt;&gt;"",Versions!B419='Policy card'!$C$3),1,0)</f>
        <v>0</v>
      </c>
      <c r="M421" s="0" t="str">
        <f aca="false">IF(L421=1,N421,"")</f>
        <v/>
      </c>
      <c r="N421" s="0" t="n">
        <f aca="false">N420+L421</f>
        <v>2</v>
      </c>
      <c r="P421" s="0" t="n">
        <f aca="false">IF(AND(Comments!B419='Policy card'!$C$3,Comments!N419="Closed"),1,0)</f>
        <v>0</v>
      </c>
      <c r="Q421" s="0" t="n">
        <f aca="false">Q420+P421</f>
        <v>7</v>
      </c>
    </row>
    <row r="422" customFormat="false" ht="15" hidden="false" customHeight="false" outlineLevel="0" collapsed="false">
      <c r="C422" s="0" t="n">
        <f aca="false">IF(AND(Comments!B420='Policy card'!$C$3,Comments!N420="Open"),1,0)</f>
        <v>0</v>
      </c>
      <c r="D422" s="0" t="str">
        <f aca="false">IF(C422=1,E422,IF(P422=1,$E$2003+Q422,""))</f>
        <v/>
      </c>
      <c r="E422" s="0" t="n">
        <f aca="false">E421+C422</f>
        <v>0</v>
      </c>
      <c r="L422" s="0" t="n">
        <f aca="false">IF(AND(Versions!B420&lt;&gt;"",Versions!B420='Policy card'!$C$3),1,0)</f>
        <v>0</v>
      </c>
      <c r="M422" s="0" t="str">
        <f aca="false">IF(L422=1,N422,"")</f>
        <v/>
      </c>
      <c r="N422" s="0" t="n">
        <f aca="false">N421+L422</f>
        <v>2</v>
      </c>
      <c r="P422" s="0" t="n">
        <f aca="false">IF(AND(Comments!B420='Policy card'!$C$3,Comments!N420="Closed"),1,0)</f>
        <v>0</v>
      </c>
      <c r="Q422" s="0" t="n">
        <f aca="false">Q421+P422</f>
        <v>7</v>
      </c>
    </row>
    <row r="423" customFormat="false" ht="15" hidden="false" customHeight="false" outlineLevel="0" collapsed="false">
      <c r="C423" s="0" t="n">
        <f aca="false">IF(AND(Comments!B421='Policy card'!$C$3,Comments!N421="Open"),1,0)</f>
        <v>0</v>
      </c>
      <c r="D423" s="0" t="str">
        <f aca="false">IF(C423=1,E423,IF(P423=1,$E$2003+Q423,""))</f>
        <v/>
      </c>
      <c r="E423" s="0" t="n">
        <f aca="false">E422+C423</f>
        <v>0</v>
      </c>
      <c r="L423" s="0" t="n">
        <f aca="false">IF(AND(Versions!B421&lt;&gt;"",Versions!B421='Policy card'!$C$3),1,0)</f>
        <v>0</v>
      </c>
      <c r="M423" s="0" t="str">
        <f aca="false">IF(L423=1,N423,"")</f>
        <v/>
      </c>
      <c r="N423" s="0" t="n">
        <f aca="false">N422+L423</f>
        <v>2</v>
      </c>
      <c r="P423" s="0" t="n">
        <f aca="false">IF(AND(Comments!B421='Policy card'!$C$3,Comments!N421="Closed"),1,0)</f>
        <v>0</v>
      </c>
      <c r="Q423" s="0" t="n">
        <f aca="false">Q422+P423</f>
        <v>7</v>
      </c>
    </row>
    <row r="424" customFormat="false" ht="15" hidden="false" customHeight="false" outlineLevel="0" collapsed="false">
      <c r="C424" s="0" t="n">
        <f aca="false">IF(AND(Comments!B422='Policy card'!$C$3,Comments!N422="Open"),1,0)</f>
        <v>0</v>
      </c>
      <c r="D424" s="0" t="str">
        <f aca="false">IF(C424=1,E424,IF(P424=1,$E$2003+Q424,""))</f>
        <v/>
      </c>
      <c r="E424" s="0" t="n">
        <f aca="false">E423+C424</f>
        <v>0</v>
      </c>
      <c r="L424" s="0" t="n">
        <f aca="false">IF(AND(Versions!B422&lt;&gt;"",Versions!B422='Policy card'!$C$3),1,0)</f>
        <v>0</v>
      </c>
      <c r="M424" s="0" t="str">
        <f aca="false">IF(L424=1,N424,"")</f>
        <v/>
      </c>
      <c r="N424" s="0" t="n">
        <f aca="false">N423+L424</f>
        <v>2</v>
      </c>
      <c r="P424" s="0" t="n">
        <f aca="false">IF(AND(Comments!B422='Policy card'!$C$3,Comments!N422="Closed"),1,0)</f>
        <v>0</v>
      </c>
      <c r="Q424" s="0" t="n">
        <f aca="false">Q423+P424</f>
        <v>7</v>
      </c>
    </row>
    <row r="425" customFormat="false" ht="15" hidden="false" customHeight="false" outlineLevel="0" collapsed="false">
      <c r="C425" s="0" t="n">
        <f aca="false">IF(AND(Comments!B423='Policy card'!$C$3,Comments!N423="Open"),1,0)</f>
        <v>0</v>
      </c>
      <c r="D425" s="0" t="str">
        <f aca="false">IF(C425=1,E425,IF(P425=1,$E$2003+Q425,""))</f>
        <v/>
      </c>
      <c r="E425" s="0" t="n">
        <f aca="false">E424+C425</f>
        <v>0</v>
      </c>
      <c r="L425" s="0" t="n">
        <f aca="false">IF(AND(Versions!B423&lt;&gt;"",Versions!B423='Policy card'!$C$3),1,0)</f>
        <v>0</v>
      </c>
      <c r="M425" s="0" t="str">
        <f aca="false">IF(L425=1,N425,"")</f>
        <v/>
      </c>
      <c r="N425" s="0" t="n">
        <f aca="false">N424+L425</f>
        <v>2</v>
      </c>
      <c r="P425" s="0" t="n">
        <f aca="false">IF(AND(Comments!B423='Policy card'!$C$3,Comments!N423="Closed"),1,0)</f>
        <v>0</v>
      </c>
      <c r="Q425" s="0" t="n">
        <f aca="false">Q424+P425</f>
        <v>7</v>
      </c>
    </row>
    <row r="426" customFormat="false" ht="15" hidden="false" customHeight="false" outlineLevel="0" collapsed="false">
      <c r="C426" s="0" t="n">
        <f aca="false">IF(AND(Comments!B424='Policy card'!$C$3,Comments!N424="Open"),1,0)</f>
        <v>0</v>
      </c>
      <c r="D426" s="0" t="str">
        <f aca="false">IF(C426=1,E426,IF(P426=1,$E$2003+Q426,""))</f>
        <v/>
      </c>
      <c r="E426" s="0" t="n">
        <f aca="false">E425+C426</f>
        <v>0</v>
      </c>
      <c r="L426" s="0" t="n">
        <f aca="false">IF(AND(Versions!B424&lt;&gt;"",Versions!B424='Policy card'!$C$3),1,0)</f>
        <v>0</v>
      </c>
      <c r="M426" s="0" t="str">
        <f aca="false">IF(L426=1,N426,"")</f>
        <v/>
      </c>
      <c r="N426" s="0" t="n">
        <f aca="false">N425+L426</f>
        <v>2</v>
      </c>
      <c r="P426" s="0" t="n">
        <f aca="false">IF(AND(Comments!B424='Policy card'!$C$3,Comments!N424="Closed"),1,0)</f>
        <v>0</v>
      </c>
      <c r="Q426" s="0" t="n">
        <f aca="false">Q425+P426</f>
        <v>7</v>
      </c>
    </row>
    <row r="427" customFormat="false" ht="15" hidden="false" customHeight="false" outlineLevel="0" collapsed="false">
      <c r="C427" s="0" t="n">
        <f aca="false">IF(AND(Comments!B425='Policy card'!$C$3,Comments!N425="Open"),1,0)</f>
        <v>0</v>
      </c>
      <c r="D427" s="0" t="str">
        <f aca="false">IF(C427=1,E427,IF(P427=1,$E$2003+Q427,""))</f>
        <v/>
      </c>
      <c r="E427" s="0" t="n">
        <f aca="false">E426+C427</f>
        <v>0</v>
      </c>
      <c r="L427" s="0" t="n">
        <f aca="false">IF(AND(Versions!B425&lt;&gt;"",Versions!B425='Policy card'!$C$3),1,0)</f>
        <v>0</v>
      </c>
      <c r="M427" s="0" t="str">
        <f aca="false">IF(L427=1,N427,"")</f>
        <v/>
      </c>
      <c r="N427" s="0" t="n">
        <f aca="false">N426+L427</f>
        <v>2</v>
      </c>
      <c r="P427" s="0" t="n">
        <f aca="false">IF(AND(Comments!B425='Policy card'!$C$3,Comments!N425="Closed"),1,0)</f>
        <v>0</v>
      </c>
      <c r="Q427" s="0" t="n">
        <f aca="false">Q426+P427</f>
        <v>7</v>
      </c>
    </row>
    <row r="428" customFormat="false" ht="15" hidden="false" customHeight="false" outlineLevel="0" collapsed="false">
      <c r="C428" s="0" t="n">
        <f aca="false">IF(AND(Comments!B426='Policy card'!$C$3,Comments!N426="Open"),1,0)</f>
        <v>0</v>
      </c>
      <c r="D428" s="0" t="str">
        <f aca="false">IF(C428=1,E428,IF(P428=1,$E$2003+Q428,""))</f>
        <v/>
      </c>
      <c r="E428" s="0" t="n">
        <f aca="false">E427+C428</f>
        <v>0</v>
      </c>
      <c r="L428" s="0" t="n">
        <f aca="false">IF(AND(Versions!B426&lt;&gt;"",Versions!B426='Policy card'!$C$3),1,0)</f>
        <v>0</v>
      </c>
      <c r="M428" s="0" t="str">
        <f aca="false">IF(L428=1,N428,"")</f>
        <v/>
      </c>
      <c r="N428" s="0" t="n">
        <f aca="false">N427+L428</f>
        <v>2</v>
      </c>
      <c r="P428" s="0" t="n">
        <f aca="false">IF(AND(Comments!B426='Policy card'!$C$3,Comments!N426="Closed"),1,0)</f>
        <v>0</v>
      </c>
      <c r="Q428" s="0" t="n">
        <f aca="false">Q427+P428</f>
        <v>7</v>
      </c>
    </row>
    <row r="429" customFormat="false" ht="15" hidden="false" customHeight="false" outlineLevel="0" collapsed="false">
      <c r="C429" s="0" t="n">
        <f aca="false">IF(AND(Comments!B427='Policy card'!$C$3,Comments!N427="Open"),1,0)</f>
        <v>0</v>
      </c>
      <c r="D429" s="0" t="str">
        <f aca="false">IF(C429=1,E429,IF(P429=1,$E$2003+Q429,""))</f>
        <v/>
      </c>
      <c r="E429" s="0" t="n">
        <f aca="false">E428+C429</f>
        <v>0</v>
      </c>
      <c r="L429" s="0" t="n">
        <f aca="false">IF(AND(Versions!B427&lt;&gt;"",Versions!B427='Policy card'!$C$3),1,0)</f>
        <v>0</v>
      </c>
      <c r="M429" s="0" t="str">
        <f aca="false">IF(L429=1,N429,"")</f>
        <v/>
      </c>
      <c r="N429" s="0" t="n">
        <f aca="false">N428+L429</f>
        <v>2</v>
      </c>
      <c r="P429" s="0" t="n">
        <f aca="false">IF(AND(Comments!B427='Policy card'!$C$3,Comments!N427="Closed"),1,0)</f>
        <v>0</v>
      </c>
      <c r="Q429" s="0" t="n">
        <f aca="false">Q428+P429</f>
        <v>7</v>
      </c>
    </row>
    <row r="430" customFormat="false" ht="15" hidden="false" customHeight="false" outlineLevel="0" collapsed="false">
      <c r="C430" s="0" t="n">
        <f aca="false">IF(AND(Comments!B428='Policy card'!$C$3,Comments!N428="Open"),1,0)</f>
        <v>0</v>
      </c>
      <c r="D430" s="0" t="str">
        <f aca="false">IF(C430=1,E430,IF(P430=1,$E$2003+Q430,""))</f>
        <v/>
      </c>
      <c r="E430" s="0" t="n">
        <f aca="false">E429+C430</f>
        <v>0</v>
      </c>
      <c r="L430" s="0" t="n">
        <f aca="false">IF(AND(Versions!B428&lt;&gt;"",Versions!B428='Policy card'!$C$3),1,0)</f>
        <v>0</v>
      </c>
      <c r="M430" s="0" t="str">
        <f aca="false">IF(L430=1,N430,"")</f>
        <v/>
      </c>
      <c r="N430" s="0" t="n">
        <f aca="false">N429+L430</f>
        <v>2</v>
      </c>
      <c r="P430" s="0" t="n">
        <f aca="false">IF(AND(Comments!B428='Policy card'!$C$3,Comments!N428="Closed"),1,0)</f>
        <v>0</v>
      </c>
      <c r="Q430" s="0" t="n">
        <f aca="false">Q429+P430</f>
        <v>7</v>
      </c>
    </row>
    <row r="431" customFormat="false" ht="15" hidden="false" customHeight="false" outlineLevel="0" collapsed="false">
      <c r="C431" s="0" t="n">
        <f aca="false">IF(AND(Comments!B429='Policy card'!$C$3,Comments!N429="Open"),1,0)</f>
        <v>0</v>
      </c>
      <c r="D431" s="0" t="str">
        <f aca="false">IF(C431=1,E431,IF(P431=1,$E$2003+Q431,""))</f>
        <v/>
      </c>
      <c r="E431" s="0" t="n">
        <f aca="false">E430+C431</f>
        <v>0</v>
      </c>
      <c r="L431" s="0" t="n">
        <f aca="false">IF(AND(Versions!B429&lt;&gt;"",Versions!B429='Policy card'!$C$3),1,0)</f>
        <v>0</v>
      </c>
      <c r="M431" s="0" t="str">
        <f aca="false">IF(L431=1,N431,"")</f>
        <v/>
      </c>
      <c r="N431" s="0" t="n">
        <f aca="false">N430+L431</f>
        <v>2</v>
      </c>
      <c r="P431" s="0" t="n">
        <f aca="false">IF(AND(Comments!B429='Policy card'!$C$3,Comments!N429="Closed"),1,0)</f>
        <v>0</v>
      </c>
      <c r="Q431" s="0" t="n">
        <f aca="false">Q430+P431</f>
        <v>7</v>
      </c>
    </row>
    <row r="432" customFormat="false" ht="15" hidden="false" customHeight="false" outlineLevel="0" collapsed="false">
      <c r="C432" s="0" t="n">
        <f aca="false">IF(AND(Comments!B430='Policy card'!$C$3,Comments!N430="Open"),1,0)</f>
        <v>0</v>
      </c>
      <c r="D432" s="0" t="str">
        <f aca="false">IF(C432=1,E432,IF(P432=1,$E$2003+Q432,""))</f>
        <v/>
      </c>
      <c r="E432" s="0" t="n">
        <f aca="false">E431+C432</f>
        <v>0</v>
      </c>
      <c r="L432" s="0" t="n">
        <f aca="false">IF(AND(Versions!B430&lt;&gt;"",Versions!B430='Policy card'!$C$3),1,0)</f>
        <v>0</v>
      </c>
      <c r="M432" s="0" t="str">
        <f aca="false">IF(L432=1,N432,"")</f>
        <v/>
      </c>
      <c r="N432" s="0" t="n">
        <f aca="false">N431+L432</f>
        <v>2</v>
      </c>
      <c r="P432" s="0" t="n">
        <f aca="false">IF(AND(Comments!B430='Policy card'!$C$3,Comments!N430="Closed"),1,0)</f>
        <v>0</v>
      </c>
      <c r="Q432" s="0" t="n">
        <f aca="false">Q431+P432</f>
        <v>7</v>
      </c>
    </row>
    <row r="433" customFormat="false" ht="15" hidden="false" customHeight="false" outlineLevel="0" collapsed="false">
      <c r="C433" s="0" t="n">
        <f aca="false">IF(AND(Comments!B431='Policy card'!$C$3,Comments!N431="Open"),1,0)</f>
        <v>0</v>
      </c>
      <c r="D433" s="0" t="str">
        <f aca="false">IF(C433=1,E433,IF(P433=1,$E$2003+Q433,""))</f>
        <v/>
      </c>
      <c r="E433" s="0" t="n">
        <f aca="false">E432+C433</f>
        <v>0</v>
      </c>
      <c r="L433" s="0" t="n">
        <f aca="false">IF(AND(Versions!B431&lt;&gt;"",Versions!B431='Policy card'!$C$3),1,0)</f>
        <v>0</v>
      </c>
      <c r="M433" s="0" t="str">
        <f aca="false">IF(L433=1,N433,"")</f>
        <v/>
      </c>
      <c r="N433" s="0" t="n">
        <f aca="false">N432+L433</f>
        <v>2</v>
      </c>
      <c r="P433" s="0" t="n">
        <f aca="false">IF(AND(Comments!B431='Policy card'!$C$3,Comments!N431="Closed"),1,0)</f>
        <v>0</v>
      </c>
      <c r="Q433" s="0" t="n">
        <f aca="false">Q432+P433</f>
        <v>7</v>
      </c>
    </row>
    <row r="434" customFormat="false" ht="15" hidden="false" customHeight="false" outlineLevel="0" collapsed="false">
      <c r="C434" s="0" t="n">
        <f aca="false">IF(AND(Comments!B432='Policy card'!$C$3,Comments!N432="Open"),1,0)</f>
        <v>0</v>
      </c>
      <c r="D434" s="0" t="str">
        <f aca="false">IF(C434=1,E434,IF(P434=1,$E$2003+Q434,""))</f>
        <v/>
      </c>
      <c r="E434" s="0" t="n">
        <f aca="false">E433+C434</f>
        <v>0</v>
      </c>
      <c r="L434" s="0" t="n">
        <f aca="false">IF(AND(Versions!B432&lt;&gt;"",Versions!B432='Policy card'!$C$3),1,0)</f>
        <v>0</v>
      </c>
      <c r="M434" s="0" t="str">
        <f aca="false">IF(L434=1,N434,"")</f>
        <v/>
      </c>
      <c r="N434" s="0" t="n">
        <f aca="false">N433+L434</f>
        <v>2</v>
      </c>
      <c r="P434" s="0" t="n">
        <f aca="false">IF(AND(Comments!B432='Policy card'!$C$3,Comments!N432="Closed"),1,0)</f>
        <v>0</v>
      </c>
      <c r="Q434" s="0" t="n">
        <f aca="false">Q433+P434</f>
        <v>7</v>
      </c>
    </row>
    <row r="435" customFormat="false" ht="15" hidden="false" customHeight="false" outlineLevel="0" collapsed="false">
      <c r="C435" s="0" t="n">
        <f aca="false">IF(AND(Comments!B433='Policy card'!$C$3,Comments!N433="Open"),1,0)</f>
        <v>0</v>
      </c>
      <c r="D435" s="0" t="str">
        <f aca="false">IF(C435=1,E435,IF(P435=1,$E$2003+Q435,""))</f>
        <v/>
      </c>
      <c r="E435" s="0" t="n">
        <f aca="false">E434+C435</f>
        <v>0</v>
      </c>
      <c r="L435" s="0" t="n">
        <f aca="false">IF(AND(Versions!B433&lt;&gt;"",Versions!B433='Policy card'!$C$3),1,0)</f>
        <v>0</v>
      </c>
      <c r="M435" s="0" t="str">
        <f aca="false">IF(L435=1,N435,"")</f>
        <v/>
      </c>
      <c r="N435" s="0" t="n">
        <f aca="false">N434+L435</f>
        <v>2</v>
      </c>
      <c r="P435" s="0" t="n">
        <f aca="false">IF(AND(Comments!B433='Policy card'!$C$3,Comments!N433="Closed"),1,0)</f>
        <v>0</v>
      </c>
      <c r="Q435" s="0" t="n">
        <f aca="false">Q434+P435</f>
        <v>7</v>
      </c>
    </row>
    <row r="436" customFormat="false" ht="15" hidden="false" customHeight="false" outlineLevel="0" collapsed="false">
      <c r="C436" s="0" t="n">
        <f aca="false">IF(AND(Comments!B434='Policy card'!$C$3,Comments!N434="Open"),1,0)</f>
        <v>0</v>
      </c>
      <c r="D436" s="0" t="str">
        <f aca="false">IF(C436=1,E436,IF(P436=1,$E$2003+Q436,""))</f>
        <v/>
      </c>
      <c r="E436" s="0" t="n">
        <f aca="false">E435+C436</f>
        <v>0</v>
      </c>
      <c r="L436" s="0" t="n">
        <f aca="false">IF(AND(Versions!B434&lt;&gt;"",Versions!B434='Policy card'!$C$3),1,0)</f>
        <v>0</v>
      </c>
      <c r="M436" s="0" t="str">
        <f aca="false">IF(L436=1,N436,"")</f>
        <v/>
      </c>
      <c r="N436" s="0" t="n">
        <f aca="false">N435+L436</f>
        <v>2</v>
      </c>
      <c r="P436" s="0" t="n">
        <f aca="false">IF(AND(Comments!B434='Policy card'!$C$3,Comments!N434="Closed"),1,0)</f>
        <v>0</v>
      </c>
      <c r="Q436" s="0" t="n">
        <f aca="false">Q435+P436</f>
        <v>7</v>
      </c>
    </row>
    <row r="437" customFormat="false" ht="15" hidden="false" customHeight="false" outlineLevel="0" collapsed="false">
      <c r="C437" s="0" t="n">
        <f aca="false">IF(AND(Comments!B435='Policy card'!$C$3,Comments!N435="Open"),1,0)</f>
        <v>0</v>
      </c>
      <c r="D437" s="0" t="str">
        <f aca="false">IF(C437=1,E437,IF(P437=1,$E$2003+Q437,""))</f>
        <v/>
      </c>
      <c r="E437" s="0" t="n">
        <f aca="false">E436+C437</f>
        <v>0</v>
      </c>
      <c r="L437" s="0" t="n">
        <f aca="false">IF(AND(Versions!B435&lt;&gt;"",Versions!B435='Policy card'!$C$3),1,0)</f>
        <v>0</v>
      </c>
      <c r="M437" s="0" t="str">
        <f aca="false">IF(L437=1,N437,"")</f>
        <v/>
      </c>
      <c r="N437" s="0" t="n">
        <f aca="false">N436+L437</f>
        <v>2</v>
      </c>
      <c r="P437" s="0" t="n">
        <f aca="false">IF(AND(Comments!B435='Policy card'!$C$3,Comments!N435="Closed"),1,0)</f>
        <v>0</v>
      </c>
      <c r="Q437" s="0" t="n">
        <f aca="false">Q436+P437</f>
        <v>7</v>
      </c>
    </row>
    <row r="438" customFormat="false" ht="15" hidden="false" customHeight="false" outlineLevel="0" collapsed="false">
      <c r="C438" s="0" t="n">
        <f aca="false">IF(AND(Comments!B436='Policy card'!$C$3,Comments!N436="Open"),1,0)</f>
        <v>0</v>
      </c>
      <c r="D438" s="0" t="str">
        <f aca="false">IF(C438=1,E438,IF(P438=1,$E$2003+Q438,""))</f>
        <v/>
      </c>
      <c r="E438" s="0" t="n">
        <f aca="false">E437+C438</f>
        <v>0</v>
      </c>
      <c r="L438" s="0" t="n">
        <f aca="false">IF(AND(Versions!B436&lt;&gt;"",Versions!B436='Policy card'!$C$3),1,0)</f>
        <v>0</v>
      </c>
      <c r="M438" s="0" t="str">
        <f aca="false">IF(L438=1,N438,"")</f>
        <v/>
      </c>
      <c r="N438" s="0" t="n">
        <f aca="false">N437+L438</f>
        <v>2</v>
      </c>
      <c r="P438" s="0" t="n">
        <f aca="false">IF(AND(Comments!B436='Policy card'!$C$3,Comments!N436="Closed"),1,0)</f>
        <v>0</v>
      </c>
      <c r="Q438" s="0" t="n">
        <f aca="false">Q437+P438</f>
        <v>7</v>
      </c>
    </row>
    <row r="439" customFormat="false" ht="15" hidden="false" customHeight="false" outlineLevel="0" collapsed="false">
      <c r="C439" s="0" t="n">
        <f aca="false">IF(AND(Comments!B437='Policy card'!$C$3,Comments!N437="Open"),1,0)</f>
        <v>0</v>
      </c>
      <c r="D439" s="0" t="str">
        <f aca="false">IF(C439=1,E439,IF(P439=1,$E$2003+Q439,""))</f>
        <v/>
      </c>
      <c r="E439" s="0" t="n">
        <f aca="false">E438+C439</f>
        <v>0</v>
      </c>
      <c r="L439" s="0" t="n">
        <f aca="false">IF(AND(Versions!B437&lt;&gt;"",Versions!B437='Policy card'!$C$3),1,0)</f>
        <v>0</v>
      </c>
      <c r="M439" s="0" t="str">
        <f aca="false">IF(L439=1,N439,"")</f>
        <v/>
      </c>
      <c r="N439" s="0" t="n">
        <f aca="false">N438+L439</f>
        <v>2</v>
      </c>
      <c r="P439" s="0" t="n">
        <f aca="false">IF(AND(Comments!B437='Policy card'!$C$3,Comments!N437="Closed"),1,0)</f>
        <v>0</v>
      </c>
      <c r="Q439" s="0" t="n">
        <f aca="false">Q438+P439</f>
        <v>7</v>
      </c>
    </row>
    <row r="440" customFormat="false" ht="15" hidden="false" customHeight="false" outlineLevel="0" collapsed="false">
      <c r="C440" s="0" t="n">
        <f aca="false">IF(AND(Comments!B438='Policy card'!$C$3,Comments!N438="Open"),1,0)</f>
        <v>0</v>
      </c>
      <c r="D440" s="0" t="str">
        <f aca="false">IF(C440=1,E440,IF(P440=1,$E$2003+Q440,""))</f>
        <v/>
      </c>
      <c r="E440" s="0" t="n">
        <f aca="false">E439+C440</f>
        <v>0</v>
      </c>
      <c r="L440" s="0" t="n">
        <f aca="false">IF(AND(Versions!B438&lt;&gt;"",Versions!B438='Policy card'!$C$3),1,0)</f>
        <v>0</v>
      </c>
      <c r="M440" s="0" t="str">
        <f aca="false">IF(L440=1,N440,"")</f>
        <v/>
      </c>
      <c r="N440" s="0" t="n">
        <f aca="false">N439+L440</f>
        <v>2</v>
      </c>
      <c r="P440" s="0" t="n">
        <f aca="false">IF(AND(Comments!B438='Policy card'!$C$3,Comments!N438="Closed"),1,0)</f>
        <v>0</v>
      </c>
      <c r="Q440" s="0" t="n">
        <f aca="false">Q439+P440</f>
        <v>7</v>
      </c>
    </row>
    <row r="441" customFormat="false" ht="15" hidden="false" customHeight="false" outlineLevel="0" collapsed="false">
      <c r="C441" s="0" t="n">
        <f aca="false">IF(AND(Comments!B439='Policy card'!$C$3,Comments!N439="Open"),1,0)</f>
        <v>0</v>
      </c>
      <c r="D441" s="0" t="str">
        <f aca="false">IF(C441=1,E441,IF(P441=1,$E$2003+Q441,""))</f>
        <v/>
      </c>
      <c r="E441" s="0" t="n">
        <f aca="false">E440+C441</f>
        <v>0</v>
      </c>
      <c r="L441" s="0" t="n">
        <f aca="false">IF(AND(Versions!B439&lt;&gt;"",Versions!B439='Policy card'!$C$3),1,0)</f>
        <v>0</v>
      </c>
      <c r="M441" s="0" t="str">
        <f aca="false">IF(L441=1,N441,"")</f>
        <v/>
      </c>
      <c r="N441" s="0" t="n">
        <f aca="false">N440+L441</f>
        <v>2</v>
      </c>
      <c r="P441" s="0" t="n">
        <f aca="false">IF(AND(Comments!B439='Policy card'!$C$3,Comments!N439="Closed"),1,0)</f>
        <v>0</v>
      </c>
      <c r="Q441" s="0" t="n">
        <f aca="false">Q440+P441</f>
        <v>7</v>
      </c>
    </row>
    <row r="442" customFormat="false" ht="15" hidden="false" customHeight="false" outlineLevel="0" collapsed="false">
      <c r="C442" s="0" t="n">
        <f aca="false">IF(AND(Comments!B440='Policy card'!$C$3,Comments!N440="Open"),1,0)</f>
        <v>0</v>
      </c>
      <c r="D442" s="0" t="str">
        <f aca="false">IF(C442=1,E442,IF(P442=1,$E$2003+Q442,""))</f>
        <v/>
      </c>
      <c r="E442" s="0" t="n">
        <f aca="false">E441+C442</f>
        <v>0</v>
      </c>
      <c r="L442" s="0" t="n">
        <f aca="false">IF(AND(Versions!B440&lt;&gt;"",Versions!B440='Policy card'!$C$3),1,0)</f>
        <v>0</v>
      </c>
      <c r="M442" s="0" t="str">
        <f aca="false">IF(L442=1,N442,"")</f>
        <v/>
      </c>
      <c r="N442" s="0" t="n">
        <f aca="false">N441+L442</f>
        <v>2</v>
      </c>
      <c r="P442" s="0" t="n">
        <f aca="false">IF(AND(Comments!B440='Policy card'!$C$3,Comments!N440="Closed"),1,0)</f>
        <v>0</v>
      </c>
      <c r="Q442" s="0" t="n">
        <f aca="false">Q441+P442</f>
        <v>7</v>
      </c>
    </row>
    <row r="443" customFormat="false" ht="15" hidden="false" customHeight="false" outlineLevel="0" collapsed="false">
      <c r="C443" s="0" t="n">
        <f aca="false">IF(AND(Comments!B441='Policy card'!$C$3,Comments!N441="Open"),1,0)</f>
        <v>0</v>
      </c>
      <c r="D443" s="0" t="str">
        <f aca="false">IF(C443=1,E443,IF(P443=1,$E$2003+Q443,""))</f>
        <v/>
      </c>
      <c r="E443" s="0" t="n">
        <f aca="false">E442+C443</f>
        <v>0</v>
      </c>
      <c r="L443" s="0" t="n">
        <f aca="false">IF(AND(Versions!B441&lt;&gt;"",Versions!B441='Policy card'!$C$3),1,0)</f>
        <v>0</v>
      </c>
      <c r="M443" s="0" t="str">
        <f aca="false">IF(L443=1,N443,"")</f>
        <v/>
      </c>
      <c r="N443" s="0" t="n">
        <f aca="false">N442+L443</f>
        <v>2</v>
      </c>
      <c r="P443" s="0" t="n">
        <f aca="false">IF(AND(Comments!B441='Policy card'!$C$3,Comments!N441="Closed"),1,0)</f>
        <v>0</v>
      </c>
      <c r="Q443" s="0" t="n">
        <f aca="false">Q442+P443</f>
        <v>7</v>
      </c>
    </row>
    <row r="444" customFormat="false" ht="15" hidden="false" customHeight="false" outlineLevel="0" collapsed="false">
      <c r="C444" s="0" t="n">
        <f aca="false">IF(AND(Comments!B442='Policy card'!$C$3,Comments!N442="Open"),1,0)</f>
        <v>0</v>
      </c>
      <c r="D444" s="0" t="str">
        <f aca="false">IF(C444=1,E444,IF(P444=1,$E$2003+Q444,""))</f>
        <v/>
      </c>
      <c r="E444" s="0" t="n">
        <f aca="false">E443+C444</f>
        <v>0</v>
      </c>
      <c r="L444" s="0" t="n">
        <f aca="false">IF(AND(Versions!B442&lt;&gt;"",Versions!B442='Policy card'!$C$3),1,0)</f>
        <v>0</v>
      </c>
      <c r="M444" s="0" t="str">
        <f aca="false">IF(L444=1,N444,"")</f>
        <v/>
      </c>
      <c r="N444" s="0" t="n">
        <f aca="false">N443+L444</f>
        <v>2</v>
      </c>
      <c r="P444" s="0" t="n">
        <f aca="false">IF(AND(Comments!B442='Policy card'!$C$3,Comments!N442="Closed"),1,0)</f>
        <v>0</v>
      </c>
      <c r="Q444" s="0" t="n">
        <f aca="false">Q443+P444</f>
        <v>7</v>
      </c>
    </row>
    <row r="445" customFormat="false" ht="15" hidden="false" customHeight="false" outlineLevel="0" collapsed="false">
      <c r="C445" s="0" t="n">
        <f aca="false">IF(AND(Comments!B443='Policy card'!$C$3,Comments!N443="Open"),1,0)</f>
        <v>0</v>
      </c>
      <c r="D445" s="0" t="str">
        <f aca="false">IF(C445=1,E445,IF(P445=1,$E$2003+Q445,""))</f>
        <v/>
      </c>
      <c r="E445" s="0" t="n">
        <f aca="false">E444+C445</f>
        <v>0</v>
      </c>
      <c r="L445" s="0" t="n">
        <f aca="false">IF(AND(Versions!B443&lt;&gt;"",Versions!B443='Policy card'!$C$3),1,0)</f>
        <v>0</v>
      </c>
      <c r="M445" s="0" t="str">
        <f aca="false">IF(L445=1,N445,"")</f>
        <v/>
      </c>
      <c r="N445" s="0" t="n">
        <f aca="false">N444+L445</f>
        <v>2</v>
      </c>
      <c r="P445" s="0" t="n">
        <f aca="false">IF(AND(Comments!B443='Policy card'!$C$3,Comments!N443="Closed"),1,0)</f>
        <v>0</v>
      </c>
      <c r="Q445" s="0" t="n">
        <f aca="false">Q444+P445</f>
        <v>7</v>
      </c>
    </row>
    <row r="446" customFormat="false" ht="15" hidden="false" customHeight="false" outlineLevel="0" collapsed="false">
      <c r="C446" s="0" t="n">
        <f aca="false">IF(AND(Comments!B444='Policy card'!$C$3,Comments!N444="Open"),1,0)</f>
        <v>0</v>
      </c>
      <c r="D446" s="0" t="str">
        <f aca="false">IF(C446=1,E446,IF(P446=1,$E$2003+Q446,""))</f>
        <v/>
      </c>
      <c r="E446" s="0" t="n">
        <f aca="false">E445+C446</f>
        <v>0</v>
      </c>
      <c r="L446" s="0" t="n">
        <f aca="false">IF(AND(Versions!B444&lt;&gt;"",Versions!B444='Policy card'!$C$3),1,0)</f>
        <v>0</v>
      </c>
      <c r="M446" s="0" t="str">
        <f aca="false">IF(L446=1,N446,"")</f>
        <v/>
      </c>
      <c r="N446" s="0" t="n">
        <f aca="false">N445+L446</f>
        <v>2</v>
      </c>
      <c r="P446" s="0" t="n">
        <f aca="false">IF(AND(Comments!B444='Policy card'!$C$3,Comments!N444="Closed"),1,0)</f>
        <v>0</v>
      </c>
      <c r="Q446" s="0" t="n">
        <f aca="false">Q445+P446</f>
        <v>7</v>
      </c>
    </row>
    <row r="447" customFormat="false" ht="15" hidden="false" customHeight="false" outlineLevel="0" collapsed="false">
      <c r="C447" s="0" t="n">
        <f aca="false">IF(AND(Comments!B445='Policy card'!$C$3,Comments!N445="Open"),1,0)</f>
        <v>0</v>
      </c>
      <c r="D447" s="0" t="str">
        <f aca="false">IF(C447=1,E447,IF(P447=1,$E$2003+Q447,""))</f>
        <v/>
      </c>
      <c r="E447" s="0" t="n">
        <f aca="false">E446+C447</f>
        <v>0</v>
      </c>
      <c r="L447" s="0" t="n">
        <f aca="false">IF(AND(Versions!B445&lt;&gt;"",Versions!B445='Policy card'!$C$3),1,0)</f>
        <v>0</v>
      </c>
      <c r="M447" s="0" t="str">
        <f aca="false">IF(L447=1,N447,"")</f>
        <v/>
      </c>
      <c r="N447" s="0" t="n">
        <f aca="false">N446+L447</f>
        <v>2</v>
      </c>
      <c r="P447" s="0" t="n">
        <f aca="false">IF(AND(Comments!B445='Policy card'!$C$3,Comments!N445="Closed"),1,0)</f>
        <v>0</v>
      </c>
      <c r="Q447" s="0" t="n">
        <f aca="false">Q446+P447</f>
        <v>7</v>
      </c>
    </row>
    <row r="448" customFormat="false" ht="15" hidden="false" customHeight="false" outlineLevel="0" collapsed="false">
      <c r="C448" s="0" t="n">
        <f aca="false">IF(AND(Comments!B446='Policy card'!$C$3,Comments!N446="Open"),1,0)</f>
        <v>0</v>
      </c>
      <c r="D448" s="0" t="str">
        <f aca="false">IF(C448=1,E448,IF(P448=1,$E$2003+Q448,""))</f>
        <v/>
      </c>
      <c r="E448" s="0" t="n">
        <f aca="false">E447+C448</f>
        <v>0</v>
      </c>
      <c r="L448" s="0" t="n">
        <f aca="false">IF(AND(Versions!B446&lt;&gt;"",Versions!B446='Policy card'!$C$3),1,0)</f>
        <v>0</v>
      </c>
      <c r="M448" s="0" t="str">
        <f aca="false">IF(L448=1,N448,"")</f>
        <v/>
      </c>
      <c r="N448" s="0" t="n">
        <f aca="false">N447+L448</f>
        <v>2</v>
      </c>
      <c r="P448" s="0" t="n">
        <f aca="false">IF(AND(Comments!B446='Policy card'!$C$3,Comments!N446="Closed"),1,0)</f>
        <v>0</v>
      </c>
      <c r="Q448" s="0" t="n">
        <f aca="false">Q447+P448</f>
        <v>7</v>
      </c>
    </row>
    <row r="449" customFormat="false" ht="15" hidden="false" customHeight="false" outlineLevel="0" collapsed="false">
      <c r="C449" s="0" t="n">
        <f aca="false">IF(AND(Comments!B447='Policy card'!$C$3,Comments!N447="Open"),1,0)</f>
        <v>0</v>
      </c>
      <c r="D449" s="0" t="str">
        <f aca="false">IF(C449=1,E449,IF(P449=1,$E$2003+Q449,""))</f>
        <v/>
      </c>
      <c r="E449" s="0" t="n">
        <f aca="false">E448+C449</f>
        <v>0</v>
      </c>
      <c r="L449" s="0" t="n">
        <f aca="false">IF(AND(Versions!B447&lt;&gt;"",Versions!B447='Policy card'!$C$3),1,0)</f>
        <v>0</v>
      </c>
      <c r="M449" s="0" t="str">
        <f aca="false">IF(L449=1,N449,"")</f>
        <v/>
      </c>
      <c r="N449" s="0" t="n">
        <f aca="false">N448+L449</f>
        <v>2</v>
      </c>
      <c r="P449" s="0" t="n">
        <f aca="false">IF(AND(Comments!B447='Policy card'!$C$3,Comments!N447="Closed"),1,0)</f>
        <v>0</v>
      </c>
      <c r="Q449" s="0" t="n">
        <f aca="false">Q448+P449</f>
        <v>7</v>
      </c>
    </row>
    <row r="450" customFormat="false" ht="15" hidden="false" customHeight="false" outlineLevel="0" collapsed="false">
      <c r="C450" s="0" t="n">
        <f aca="false">IF(AND(Comments!B448='Policy card'!$C$3,Comments!N448="Open"),1,0)</f>
        <v>0</v>
      </c>
      <c r="D450" s="0" t="str">
        <f aca="false">IF(C450=1,E450,IF(P450=1,$E$2003+Q450,""))</f>
        <v/>
      </c>
      <c r="E450" s="0" t="n">
        <f aca="false">E449+C450</f>
        <v>0</v>
      </c>
      <c r="L450" s="0" t="n">
        <f aca="false">IF(AND(Versions!B448&lt;&gt;"",Versions!B448='Policy card'!$C$3),1,0)</f>
        <v>0</v>
      </c>
      <c r="M450" s="0" t="str">
        <f aca="false">IF(L450=1,N450,"")</f>
        <v/>
      </c>
      <c r="N450" s="0" t="n">
        <f aca="false">N449+L450</f>
        <v>2</v>
      </c>
      <c r="P450" s="0" t="n">
        <f aca="false">IF(AND(Comments!B448='Policy card'!$C$3,Comments!N448="Closed"),1,0)</f>
        <v>0</v>
      </c>
      <c r="Q450" s="0" t="n">
        <f aca="false">Q449+P450</f>
        <v>7</v>
      </c>
    </row>
    <row r="451" customFormat="false" ht="15" hidden="false" customHeight="false" outlineLevel="0" collapsed="false">
      <c r="C451" s="0" t="n">
        <f aca="false">IF(AND(Comments!B449='Policy card'!$C$3,Comments!N449="Open"),1,0)</f>
        <v>0</v>
      </c>
      <c r="D451" s="0" t="str">
        <f aca="false">IF(C451=1,E451,IF(P451=1,$E$2003+Q451,""))</f>
        <v/>
      </c>
      <c r="E451" s="0" t="n">
        <f aca="false">E450+C451</f>
        <v>0</v>
      </c>
      <c r="L451" s="0" t="n">
        <f aca="false">IF(AND(Versions!B449&lt;&gt;"",Versions!B449='Policy card'!$C$3),1,0)</f>
        <v>0</v>
      </c>
      <c r="M451" s="0" t="str">
        <f aca="false">IF(L451=1,N451,"")</f>
        <v/>
      </c>
      <c r="N451" s="0" t="n">
        <f aca="false">N450+L451</f>
        <v>2</v>
      </c>
      <c r="P451" s="0" t="n">
        <f aca="false">IF(AND(Comments!B449='Policy card'!$C$3,Comments!N449="Closed"),1,0)</f>
        <v>0</v>
      </c>
      <c r="Q451" s="0" t="n">
        <f aca="false">Q450+P451</f>
        <v>7</v>
      </c>
    </row>
    <row r="452" customFormat="false" ht="15" hidden="false" customHeight="false" outlineLevel="0" collapsed="false">
      <c r="C452" s="0" t="n">
        <f aca="false">IF(AND(Comments!B450='Policy card'!$C$3,Comments!N450="Open"),1,0)</f>
        <v>0</v>
      </c>
      <c r="D452" s="0" t="str">
        <f aca="false">IF(C452=1,E452,IF(P452=1,$E$2003+Q452,""))</f>
        <v/>
      </c>
      <c r="E452" s="0" t="n">
        <f aca="false">E451+C452</f>
        <v>0</v>
      </c>
      <c r="L452" s="0" t="n">
        <f aca="false">IF(AND(Versions!B450&lt;&gt;"",Versions!B450='Policy card'!$C$3),1,0)</f>
        <v>0</v>
      </c>
      <c r="M452" s="0" t="str">
        <f aca="false">IF(L452=1,N452,"")</f>
        <v/>
      </c>
      <c r="N452" s="0" t="n">
        <f aca="false">N451+L452</f>
        <v>2</v>
      </c>
      <c r="P452" s="0" t="n">
        <f aca="false">IF(AND(Comments!B450='Policy card'!$C$3,Comments!N450="Closed"),1,0)</f>
        <v>0</v>
      </c>
      <c r="Q452" s="0" t="n">
        <f aca="false">Q451+P452</f>
        <v>7</v>
      </c>
    </row>
    <row r="453" customFormat="false" ht="15" hidden="false" customHeight="false" outlineLevel="0" collapsed="false">
      <c r="C453" s="0" t="n">
        <f aca="false">IF(AND(Comments!B451='Policy card'!$C$3,Comments!N451="Open"),1,0)</f>
        <v>0</v>
      </c>
      <c r="D453" s="0" t="str">
        <f aca="false">IF(C453=1,E453,IF(P453=1,$E$2003+Q453,""))</f>
        <v/>
      </c>
      <c r="E453" s="0" t="n">
        <f aca="false">E452+C453</f>
        <v>0</v>
      </c>
      <c r="L453" s="0" t="n">
        <f aca="false">IF(AND(Versions!B451&lt;&gt;"",Versions!B451='Policy card'!$C$3),1,0)</f>
        <v>0</v>
      </c>
      <c r="M453" s="0" t="str">
        <f aca="false">IF(L453=1,N453,"")</f>
        <v/>
      </c>
      <c r="N453" s="0" t="n">
        <f aca="false">N452+L453</f>
        <v>2</v>
      </c>
      <c r="P453" s="0" t="n">
        <f aca="false">IF(AND(Comments!B451='Policy card'!$C$3,Comments!N451="Closed"),1,0)</f>
        <v>0</v>
      </c>
      <c r="Q453" s="0" t="n">
        <f aca="false">Q452+P453</f>
        <v>7</v>
      </c>
    </row>
    <row r="454" customFormat="false" ht="15" hidden="false" customHeight="false" outlineLevel="0" collapsed="false">
      <c r="C454" s="0" t="n">
        <f aca="false">IF(AND(Comments!B452='Policy card'!$C$3,Comments!N452="Open"),1,0)</f>
        <v>0</v>
      </c>
      <c r="D454" s="0" t="str">
        <f aca="false">IF(C454=1,E454,IF(P454=1,$E$2003+Q454,""))</f>
        <v/>
      </c>
      <c r="E454" s="0" t="n">
        <f aca="false">E453+C454</f>
        <v>0</v>
      </c>
      <c r="L454" s="0" t="n">
        <f aca="false">IF(AND(Versions!B452&lt;&gt;"",Versions!B452='Policy card'!$C$3),1,0)</f>
        <v>0</v>
      </c>
      <c r="M454" s="0" t="str">
        <f aca="false">IF(L454=1,N454,"")</f>
        <v/>
      </c>
      <c r="N454" s="0" t="n">
        <f aca="false">N453+L454</f>
        <v>2</v>
      </c>
      <c r="P454" s="0" t="n">
        <f aca="false">IF(AND(Comments!B452='Policy card'!$C$3,Comments!N452="Closed"),1,0)</f>
        <v>0</v>
      </c>
      <c r="Q454" s="0" t="n">
        <f aca="false">Q453+P454</f>
        <v>7</v>
      </c>
    </row>
    <row r="455" customFormat="false" ht="15" hidden="false" customHeight="false" outlineLevel="0" collapsed="false">
      <c r="C455" s="0" t="n">
        <f aca="false">IF(AND(Comments!B453='Policy card'!$C$3,Comments!N453="Open"),1,0)</f>
        <v>0</v>
      </c>
      <c r="D455" s="0" t="str">
        <f aca="false">IF(C455=1,E455,IF(P455=1,$E$2003+Q455,""))</f>
        <v/>
      </c>
      <c r="E455" s="0" t="n">
        <f aca="false">E454+C455</f>
        <v>0</v>
      </c>
      <c r="L455" s="0" t="n">
        <f aca="false">IF(AND(Versions!B453&lt;&gt;"",Versions!B453='Policy card'!$C$3),1,0)</f>
        <v>0</v>
      </c>
      <c r="M455" s="0" t="str">
        <f aca="false">IF(L455=1,N455,"")</f>
        <v/>
      </c>
      <c r="N455" s="0" t="n">
        <f aca="false">N454+L455</f>
        <v>2</v>
      </c>
      <c r="P455" s="0" t="n">
        <f aca="false">IF(AND(Comments!B453='Policy card'!$C$3,Comments!N453="Closed"),1,0)</f>
        <v>0</v>
      </c>
      <c r="Q455" s="0" t="n">
        <f aca="false">Q454+P455</f>
        <v>7</v>
      </c>
    </row>
    <row r="456" customFormat="false" ht="15" hidden="false" customHeight="false" outlineLevel="0" collapsed="false">
      <c r="C456" s="0" t="n">
        <f aca="false">IF(AND(Comments!B454='Policy card'!$C$3,Comments!N454="Open"),1,0)</f>
        <v>0</v>
      </c>
      <c r="D456" s="0" t="str">
        <f aca="false">IF(C456=1,E456,IF(P456=1,$E$2003+Q456,""))</f>
        <v/>
      </c>
      <c r="E456" s="0" t="n">
        <f aca="false">E455+C456</f>
        <v>0</v>
      </c>
      <c r="L456" s="0" t="n">
        <f aca="false">IF(AND(Versions!B454&lt;&gt;"",Versions!B454='Policy card'!$C$3),1,0)</f>
        <v>0</v>
      </c>
      <c r="M456" s="0" t="str">
        <f aca="false">IF(L456=1,N456,"")</f>
        <v/>
      </c>
      <c r="N456" s="0" t="n">
        <f aca="false">N455+L456</f>
        <v>2</v>
      </c>
      <c r="P456" s="0" t="n">
        <f aca="false">IF(AND(Comments!B454='Policy card'!$C$3,Comments!N454="Closed"),1,0)</f>
        <v>0</v>
      </c>
      <c r="Q456" s="0" t="n">
        <f aca="false">Q455+P456</f>
        <v>7</v>
      </c>
    </row>
    <row r="457" customFormat="false" ht="15" hidden="false" customHeight="false" outlineLevel="0" collapsed="false">
      <c r="C457" s="0" t="n">
        <f aca="false">IF(AND(Comments!B455='Policy card'!$C$3,Comments!N455="Open"),1,0)</f>
        <v>0</v>
      </c>
      <c r="D457" s="0" t="str">
        <f aca="false">IF(C457=1,E457,IF(P457=1,$E$2003+Q457,""))</f>
        <v/>
      </c>
      <c r="E457" s="0" t="n">
        <f aca="false">E456+C457</f>
        <v>0</v>
      </c>
      <c r="L457" s="0" t="n">
        <f aca="false">IF(AND(Versions!B455&lt;&gt;"",Versions!B455='Policy card'!$C$3),1,0)</f>
        <v>0</v>
      </c>
      <c r="M457" s="0" t="str">
        <f aca="false">IF(L457=1,N457,"")</f>
        <v/>
      </c>
      <c r="N457" s="0" t="n">
        <f aca="false">N456+L457</f>
        <v>2</v>
      </c>
      <c r="P457" s="0" t="n">
        <f aca="false">IF(AND(Comments!B455='Policy card'!$C$3,Comments!N455="Closed"),1,0)</f>
        <v>0</v>
      </c>
      <c r="Q457" s="0" t="n">
        <f aca="false">Q456+P457</f>
        <v>7</v>
      </c>
    </row>
    <row r="458" customFormat="false" ht="15" hidden="false" customHeight="false" outlineLevel="0" collapsed="false">
      <c r="C458" s="0" t="n">
        <f aca="false">IF(AND(Comments!B456='Policy card'!$C$3,Comments!N456="Open"),1,0)</f>
        <v>0</v>
      </c>
      <c r="D458" s="0" t="str">
        <f aca="false">IF(C458=1,E458,IF(P458=1,$E$2003+Q458,""))</f>
        <v/>
      </c>
      <c r="E458" s="0" t="n">
        <f aca="false">E457+C458</f>
        <v>0</v>
      </c>
      <c r="L458" s="0" t="n">
        <f aca="false">IF(AND(Versions!B456&lt;&gt;"",Versions!B456='Policy card'!$C$3),1,0)</f>
        <v>0</v>
      </c>
      <c r="M458" s="0" t="str">
        <f aca="false">IF(L458=1,N458,"")</f>
        <v/>
      </c>
      <c r="N458" s="0" t="n">
        <f aca="false">N457+L458</f>
        <v>2</v>
      </c>
      <c r="P458" s="0" t="n">
        <f aca="false">IF(AND(Comments!B456='Policy card'!$C$3,Comments!N456="Closed"),1,0)</f>
        <v>0</v>
      </c>
      <c r="Q458" s="0" t="n">
        <f aca="false">Q457+P458</f>
        <v>7</v>
      </c>
    </row>
    <row r="459" customFormat="false" ht="15" hidden="false" customHeight="false" outlineLevel="0" collapsed="false">
      <c r="C459" s="0" t="n">
        <f aca="false">IF(AND(Comments!B457='Policy card'!$C$3,Comments!N457="Open"),1,0)</f>
        <v>0</v>
      </c>
      <c r="D459" s="0" t="str">
        <f aca="false">IF(C459=1,E459,IF(P459=1,$E$2003+Q459,""))</f>
        <v/>
      </c>
      <c r="E459" s="0" t="n">
        <f aca="false">E458+C459</f>
        <v>0</v>
      </c>
      <c r="L459" s="0" t="n">
        <f aca="false">IF(AND(Versions!B457&lt;&gt;"",Versions!B457='Policy card'!$C$3),1,0)</f>
        <v>0</v>
      </c>
      <c r="M459" s="0" t="str">
        <f aca="false">IF(L459=1,N459,"")</f>
        <v/>
      </c>
      <c r="N459" s="0" t="n">
        <f aca="false">N458+L459</f>
        <v>2</v>
      </c>
      <c r="P459" s="0" t="n">
        <f aca="false">IF(AND(Comments!B457='Policy card'!$C$3,Comments!N457="Closed"),1,0)</f>
        <v>0</v>
      </c>
      <c r="Q459" s="0" t="n">
        <f aca="false">Q458+P459</f>
        <v>7</v>
      </c>
    </row>
    <row r="460" customFormat="false" ht="15" hidden="false" customHeight="false" outlineLevel="0" collapsed="false">
      <c r="C460" s="0" t="n">
        <f aca="false">IF(AND(Comments!B458='Policy card'!$C$3,Comments!N458="Open"),1,0)</f>
        <v>0</v>
      </c>
      <c r="D460" s="0" t="str">
        <f aca="false">IF(C460=1,E460,IF(P460=1,$E$2003+Q460,""))</f>
        <v/>
      </c>
      <c r="E460" s="0" t="n">
        <f aca="false">E459+C460</f>
        <v>0</v>
      </c>
      <c r="L460" s="0" t="n">
        <f aca="false">IF(AND(Versions!B458&lt;&gt;"",Versions!B458='Policy card'!$C$3),1,0)</f>
        <v>0</v>
      </c>
      <c r="M460" s="0" t="str">
        <f aca="false">IF(L460=1,N460,"")</f>
        <v/>
      </c>
      <c r="N460" s="0" t="n">
        <f aca="false">N459+L460</f>
        <v>2</v>
      </c>
      <c r="P460" s="0" t="n">
        <f aca="false">IF(AND(Comments!B458='Policy card'!$C$3,Comments!N458="Closed"),1,0)</f>
        <v>0</v>
      </c>
      <c r="Q460" s="0" t="n">
        <f aca="false">Q459+P460</f>
        <v>7</v>
      </c>
    </row>
    <row r="461" customFormat="false" ht="15" hidden="false" customHeight="false" outlineLevel="0" collapsed="false">
      <c r="C461" s="0" t="n">
        <f aca="false">IF(AND(Comments!B459='Policy card'!$C$3,Comments!N459="Open"),1,0)</f>
        <v>0</v>
      </c>
      <c r="D461" s="0" t="str">
        <f aca="false">IF(C461=1,E461,IF(P461=1,$E$2003+Q461,""))</f>
        <v/>
      </c>
      <c r="E461" s="0" t="n">
        <f aca="false">E460+C461</f>
        <v>0</v>
      </c>
      <c r="L461" s="0" t="n">
        <f aca="false">IF(AND(Versions!B459&lt;&gt;"",Versions!B459='Policy card'!$C$3),1,0)</f>
        <v>0</v>
      </c>
      <c r="M461" s="0" t="str">
        <f aca="false">IF(L461=1,N461,"")</f>
        <v/>
      </c>
      <c r="N461" s="0" t="n">
        <f aca="false">N460+L461</f>
        <v>2</v>
      </c>
      <c r="P461" s="0" t="n">
        <f aca="false">IF(AND(Comments!B459='Policy card'!$C$3,Comments!N459="Closed"),1,0)</f>
        <v>0</v>
      </c>
      <c r="Q461" s="0" t="n">
        <f aca="false">Q460+P461</f>
        <v>7</v>
      </c>
    </row>
    <row r="462" customFormat="false" ht="15" hidden="false" customHeight="false" outlineLevel="0" collapsed="false">
      <c r="C462" s="0" t="n">
        <f aca="false">IF(AND(Comments!B460='Policy card'!$C$3,Comments!N460="Open"),1,0)</f>
        <v>0</v>
      </c>
      <c r="D462" s="0" t="str">
        <f aca="false">IF(C462=1,E462,IF(P462=1,$E$2003+Q462,""))</f>
        <v/>
      </c>
      <c r="E462" s="0" t="n">
        <f aca="false">E461+C462</f>
        <v>0</v>
      </c>
      <c r="L462" s="0" t="n">
        <f aca="false">IF(AND(Versions!B460&lt;&gt;"",Versions!B460='Policy card'!$C$3),1,0)</f>
        <v>0</v>
      </c>
      <c r="M462" s="0" t="str">
        <f aca="false">IF(L462=1,N462,"")</f>
        <v/>
      </c>
      <c r="N462" s="0" t="n">
        <f aca="false">N461+L462</f>
        <v>2</v>
      </c>
      <c r="P462" s="0" t="n">
        <f aca="false">IF(AND(Comments!B460='Policy card'!$C$3,Comments!N460="Closed"),1,0)</f>
        <v>0</v>
      </c>
      <c r="Q462" s="0" t="n">
        <f aca="false">Q461+P462</f>
        <v>7</v>
      </c>
    </row>
    <row r="463" customFormat="false" ht="15" hidden="false" customHeight="false" outlineLevel="0" collapsed="false">
      <c r="C463" s="0" t="n">
        <f aca="false">IF(AND(Comments!B461='Policy card'!$C$3,Comments!N461="Open"),1,0)</f>
        <v>0</v>
      </c>
      <c r="D463" s="0" t="str">
        <f aca="false">IF(C463=1,E463,IF(P463=1,$E$2003+Q463,""))</f>
        <v/>
      </c>
      <c r="E463" s="0" t="n">
        <f aca="false">E462+C463</f>
        <v>0</v>
      </c>
      <c r="L463" s="0" t="n">
        <f aca="false">IF(AND(Versions!B461&lt;&gt;"",Versions!B461='Policy card'!$C$3),1,0)</f>
        <v>0</v>
      </c>
      <c r="M463" s="0" t="str">
        <f aca="false">IF(L463=1,N463,"")</f>
        <v/>
      </c>
      <c r="N463" s="0" t="n">
        <f aca="false">N462+L463</f>
        <v>2</v>
      </c>
      <c r="P463" s="0" t="n">
        <f aca="false">IF(AND(Comments!B461='Policy card'!$C$3,Comments!N461="Closed"),1,0)</f>
        <v>0</v>
      </c>
      <c r="Q463" s="0" t="n">
        <f aca="false">Q462+P463</f>
        <v>7</v>
      </c>
    </row>
    <row r="464" customFormat="false" ht="15" hidden="false" customHeight="false" outlineLevel="0" collapsed="false">
      <c r="C464" s="0" t="n">
        <f aca="false">IF(AND(Comments!B462='Policy card'!$C$3,Comments!N462="Open"),1,0)</f>
        <v>0</v>
      </c>
      <c r="D464" s="0" t="str">
        <f aca="false">IF(C464=1,E464,IF(P464=1,$E$2003+Q464,""))</f>
        <v/>
      </c>
      <c r="E464" s="0" t="n">
        <f aca="false">E463+C464</f>
        <v>0</v>
      </c>
      <c r="L464" s="0" t="n">
        <f aca="false">IF(AND(Versions!B462&lt;&gt;"",Versions!B462='Policy card'!$C$3),1,0)</f>
        <v>0</v>
      </c>
      <c r="M464" s="0" t="str">
        <f aca="false">IF(L464=1,N464,"")</f>
        <v/>
      </c>
      <c r="N464" s="0" t="n">
        <f aca="false">N463+L464</f>
        <v>2</v>
      </c>
      <c r="P464" s="0" t="n">
        <f aca="false">IF(AND(Comments!B462='Policy card'!$C$3,Comments!N462="Closed"),1,0)</f>
        <v>0</v>
      </c>
      <c r="Q464" s="0" t="n">
        <f aca="false">Q463+P464</f>
        <v>7</v>
      </c>
    </row>
    <row r="465" customFormat="false" ht="15" hidden="false" customHeight="false" outlineLevel="0" collapsed="false">
      <c r="C465" s="0" t="n">
        <f aca="false">IF(AND(Comments!B463='Policy card'!$C$3,Comments!N463="Open"),1,0)</f>
        <v>0</v>
      </c>
      <c r="D465" s="0" t="str">
        <f aca="false">IF(C465=1,E465,IF(P465=1,$E$2003+Q465,""))</f>
        <v/>
      </c>
      <c r="E465" s="0" t="n">
        <f aca="false">E464+C465</f>
        <v>0</v>
      </c>
      <c r="L465" s="0" t="n">
        <f aca="false">IF(AND(Versions!B463&lt;&gt;"",Versions!B463='Policy card'!$C$3),1,0)</f>
        <v>0</v>
      </c>
      <c r="M465" s="0" t="str">
        <f aca="false">IF(L465=1,N465,"")</f>
        <v/>
      </c>
      <c r="N465" s="0" t="n">
        <f aca="false">N464+L465</f>
        <v>2</v>
      </c>
      <c r="P465" s="0" t="n">
        <f aca="false">IF(AND(Comments!B463='Policy card'!$C$3,Comments!N463="Closed"),1,0)</f>
        <v>0</v>
      </c>
      <c r="Q465" s="0" t="n">
        <f aca="false">Q464+P465</f>
        <v>7</v>
      </c>
    </row>
    <row r="466" customFormat="false" ht="15" hidden="false" customHeight="false" outlineLevel="0" collapsed="false">
      <c r="C466" s="0" t="n">
        <f aca="false">IF(AND(Comments!B464='Policy card'!$C$3,Comments!N464="Open"),1,0)</f>
        <v>0</v>
      </c>
      <c r="D466" s="0" t="str">
        <f aca="false">IF(C466=1,E466,IF(P466=1,$E$2003+Q466,""))</f>
        <v/>
      </c>
      <c r="E466" s="0" t="n">
        <f aca="false">E465+C466</f>
        <v>0</v>
      </c>
      <c r="L466" s="0" t="n">
        <f aca="false">IF(AND(Versions!B464&lt;&gt;"",Versions!B464='Policy card'!$C$3),1,0)</f>
        <v>0</v>
      </c>
      <c r="M466" s="0" t="str">
        <f aca="false">IF(L466=1,N466,"")</f>
        <v/>
      </c>
      <c r="N466" s="0" t="n">
        <f aca="false">N465+L466</f>
        <v>2</v>
      </c>
      <c r="P466" s="0" t="n">
        <f aca="false">IF(AND(Comments!B464='Policy card'!$C$3,Comments!N464="Closed"),1,0)</f>
        <v>0</v>
      </c>
      <c r="Q466" s="0" t="n">
        <f aca="false">Q465+P466</f>
        <v>7</v>
      </c>
    </row>
    <row r="467" customFormat="false" ht="15" hidden="false" customHeight="false" outlineLevel="0" collapsed="false">
      <c r="C467" s="0" t="n">
        <f aca="false">IF(AND(Comments!B465='Policy card'!$C$3,Comments!N465="Open"),1,0)</f>
        <v>0</v>
      </c>
      <c r="D467" s="0" t="str">
        <f aca="false">IF(C467=1,E467,IF(P467=1,$E$2003+Q467,""))</f>
        <v/>
      </c>
      <c r="E467" s="0" t="n">
        <f aca="false">E466+C467</f>
        <v>0</v>
      </c>
      <c r="L467" s="0" t="n">
        <f aca="false">IF(AND(Versions!B465&lt;&gt;"",Versions!B465='Policy card'!$C$3),1,0)</f>
        <v>0</v>
      </c>
      <c r="M467" s="0" t="str">
        <f aca="false">IF(L467=1,N467,"")</f>
        <v/>
      </c>
      <c r="N467" s="0" t="n">
        <f aca="false">N466+L467</f>
        <v>2</v>
      </c>
      <c r="P467" s="0" t="n">
        <f aca="false">IF(AND(Comments!B465='Policy card'!$C$3,Comments!N465="Closed"),1,0)</f>
        <v>0</v>
      </c>
      <c r="Q467" s="0" t="n">
        <f aca="false">Q466+P467</f>
        <v>7</v>
      </c>
    </row>
    <row r="468" customFormat="false" ht="15" hidden="false" customHeight="false" outlineLevel="0" collapsed="false">
      <c r="C468" s="0" t="n">
        <f aca="false">IF(AND(Comments!B466='Policy card'!$C$3,Comments!N466="Open"),1,0)</f>
        <v>0</v>
      </c>
      <c r="D468" s="0" t="str">
        <f aca="false">IF(C468=1,E468,IF(P468=1,$E$2003+Q468,""))</f>
        <v/>
      </c>
      <c r="E468" s="0" t="n">
        <f aca="false">E467+C468</f>
        <v>0</v>
      </c>
      <c r="L468" s="0" t="n">
        <f aca="false">IF(AND(Versions!B466&lt;&gt;"",Versions!B466='Policy card'!$C$3),1,0)</f>
        <v>0</v>
      </c>
      <c r="M468" s="0" t="str">
        <f aca="false">IF(L468=1,N468,"")</f>
        <v/>
      </c>
      <c r="N468" s="0" t="n">
        <f aca="false">N467+L468</f>
        <v>2</v>
      </c>
      <c r="P468" s="0" t="n">
        <f aca="false">IF(AND(Comments!B466='Policy card'!$C$3,Comments!N466="Closed"),1,0)</f>
        <v>0</v>
      </c>
      <c r="Q468" s="0" t="n">
        <f aca="false">Q467+P468</f>
        <v>7</v>
      </c>
    </row>
    <row r="469" customFormat="false" ht="15" hidden="false" customHeight="false" outlineLevel="0" collapsed="false">
      <c r="C469" s="0" t="n">
        <f aca="false">IF(AND(Comments!B467='Policy card'!$C$3,Comments!N467="Open"),1,0)</f>
        <v>0</v>
      </c>
      <c r="D469" s="0" t="str">
        <f aca="false">IF(C469=1,E469,IF(P469=1,$E$2003+Q469,""))</f>
        <v/>
      </c>
      <c r="E469" s="0" t="n">
        <f aca="false">E468+C469</f>
        <v>0</v>
      </c>
      <c r="L469" s="0" t="n">
        <f aca="false">IF(AND(Versions!B467&lt;&gt;"",Versions!B467='Policy card'!$C$3),1,0)</f>
        <v>0</v>
      </c>
      <c r="M469" s="0" t="str">
        <f aca="false">IF(L469=1,N469,"")</f>
        <v/>
      </c>
      <c r="N469" s="0" t="n">
        <f aca="false">N468+L469</f>
        <v>2</v>
      </c>
      <c r="P469" s="0" t="n">
        <f aca="false">IF(AND(Comments!B467='Policy card'!$C$3,Comments!N467="Closed"),1,0)</f>
        <v>0</v>
      </c>
      <c r="Q469" s="0" t="n">
        <f aca="false">Q468+P469</f>
        <v>7</v>
      </c>
    </row>
    <row r="470" customFormat="false" ht="15" hidden="false" customHeight="false" outlineLevel="0" collapsed="false">
      <c r="C470" s="0" t="n">
        <f aca="false">IF(AND(Comments!B468='Policy card'!$C$3,Comments!N468="Open"),1,0)</f>
        <v>0</v>
      </c>
      <c r="D470" s="0" t="str">
        <f aca="false">IF(C470=1,E470,IF(P470=1,$E$2003+Q470,""))</f>
        <v/>
      </c>
      <c r="E470" s="0" t="n">
        <f aca="false">E469+C470</f>
        <v>0</v>
      </c>
      <c r="L470" s="0" t="n">
        <f aca="false">IF(AND(Versions!B468&lt;&gt;"",Versions!B468='Policy card'!$C$3),1,0)</f>
        <v>0</v>
      </c>
      <c r="M470" s="0" t="str">
        <f aca="false">IF(L470=1,N470,"")</f>
        <v/>
      </c>
      <c r="N470" s="0" t="n">
        <f aca="false">N469+L470</f>
        <v>2</v>
      </c>
      <c r="P470" s="0" t="n">
        <f aca="false">IF(AND(Comments!B468='Policy card'!$C$3,Comments!N468="Closed"),1,0)</f>
        <v>0</v>
      </c>
      <c r="Q470" s="0" t="n">
        <f aca="false">Q469+P470</f>
        <v>7</v>
      </c>
    </row>
    <row r="471" customFormat="false" ht="15" hidden="false" customHeight="false" outlineLevel="0" collapsed="false">
      <c r="C471" s="0" t="n">
        <f aca="false">IF(AND(Comments!B469='Policy card'!$C$3,Comments!N469="Open"),1,0)</f>
        <v>0</v>
      </c>
      <c r="D471" s="0" t="str">
        <f aca="false">IF(C471=1,E471,IF(P471=1,$E$2003+Q471,""))</f>
        <v/>
      </c>
      <c r="E471" s="0" t="n">
        <f aca="false">E470+C471</f>
        <v>0</v>
      </c>
      <c r="L471" s="0" t="n">
        <f aca="false">IF(AND(Versions!B469&lt;&gt;"",Versions!B469='Policy card'!$C$3),1,0)</f>
        <v>0</v>
      </c>
      <c r="M471" s="0" t="str">
        <f aca="false">IF(L471=1,N471,"")</f>
        <v/>
      </c>
      <c r="N471" s="0" t="n">
        <f aca="false">N470+L471</f>
        <v>2</v>
      </c>
      <c r="P471" s="0" t="n">
        <f aca="false">IF(AND(Comments!B469='Policy card'!$C$3,Comments!N469="Closed"),1,0)</f>
        <v>0</v>
      </c>
      <c r="Q471" s="0" t="n">
        <f aca="false">Q470+P471</f>
        <v>7</v>
      </c>
    </row>
    <row r="472" customFormat="false" ht="15" hidden="false" customHeight="false" outlineLevel="0" collapsed="false">
      <c r="C472" s="0" t="n">
        <f aca="false">IF(AND(Comments!B470='Policy card'!$C$3,Comments!N470="Open"),1,0)</f>
        <v>0</v>
      </c>
      <c r="D472" s="0" t="str">
        <f aca="false">IF(C472=1,E472,IF(P472=1,$E$2003+Q472,""))</f>
        <v/>
      </c>
      <c r="E472" s="0" t="n">
        <f aca="false">E471+C472</f>
        <v>0</v>
      </c>
      <c r="L472" s="0" t="n">
        <f aca="false">IF(AND(Versions!B470&lt;&gt;"",Versions!B470='Policy card'!$C$3),1,0)</f>
        <v>0</v>
      </c>
      <c r="M472" s="0" t="str">
        <f aca="false">IF(L472=1,N472,"")</f>
        <v/>
      </c>
      <c r="N472" s="0" t="n">
        <f aca="false">N471+L472</f>
        <v>2</v>
      </c>
      <c r="P472" s="0" t="n">
        <f aca="false">IF(AND(Comments!B470='Policy card'!$C$3,Comments!N470="Closed"),1,0)</f>
        <v>0</v>
      </c>
      <c r="Q472" s="0" t="n">
        <f aca="false">Q471+P472</f>
        <v>7</v>
      </c>
    </row>
    <row r="473" customFormat="false" ht="15" hidden="false" customHeight="false" outlineLevel="0" collapsed="false">
      <c r="C473" s="0" t="n">
        <f aca="false">IF(AND(Comments!B471='Policy card'!$C$3,Comments!N471="Open"),1,0)</f>
        <v>0</v>
      </c>
      <c r="D473" s="0" t="str">
        <f aca="false">IF(C473=1,E473,IF(P473=1,$E$2003+Q473,""))</f>
        <v/>
      </c>
      <c r="E473" s="0" t="n">
        <f aca="false">E472+C473</f>
        <v>0</v>
      </c>
      <c r="L473" s="0" t="n">
        <f aca="false">IF(AND(Versions!B471&lt;&gt;"",Versions!B471='Policy card'!$C$3),1,0)</f>
        <v>0</v>
      </c>
      <c r="M473" s="0" t="str">
        <f aca="false">IF(L473=1,N473,"")</f>
        <v/>
      </c>
      <c r="N473" s="0" t="n">
        <f aca="false">N472+L473</f>
        <v>2</v>
      </c>
      <c r="P473" s="0" t="n">
        <f aca="false">IF(AND(Comments!B471='Policy card'!$C$3,Comments!N471="Closed"),1,0)</f>
        <v>0</v>
      </c>
      <c r="Q473" s="0" t="n">
        <f aca="false">Q472+P473</f>
        <v>7</v>
      </c>
    </row>
    <row r="474" customFormat="false" ht="15" hidden="false" customHeight="false" outlineLevel="0" collapsed="false">
      <c r="C474" s="0" t="n">
        <f aca="false">IF(AND(Comments!B472='Policy card'!$C$3,Comments!N472="Open"),1,0)</f>
        <v>0</v>
      </c>
      <c r="D474" s="0" t="str">
        <f aca="false">IF(C474=1,E474,IF(P474=1,$E$2003+Q474,""))</f>
        <v/>
      </c>
      <c r="E474" s="0" t="n">
        <f aca="false">E473+C474</f>
        <v>0</v>
      </c>
      <c r="L474" s="0" t="n">
        <f aca="false">IF(AND(Versions!B472&lt;&gt;"",Versions!B472='Policy card'!$C$3),1,0)</f>
        <v>0</v>
      </c>
      <c r="M474" s="0" t="str">
        <f aca="false">IF(L474=1,N474,"")</f>
        <v/>
      </c>
      <c r="N474" s="0" t="n">
        <f aca="false">N473+L474</f>
        <v>2</v>
      </c>
      <c r="P474" s="0" t="n">
        <f aca="false">IF(AND(Comments!B472='Policy card'!$C$3,Comments!N472="Closed"),1,0)</f>
        <v>0</v>
      </c>
      <c r="Q474" s="0" t="n">
        <f aca="false">Q473+P474</f>
        <v>7</v>
      </c>
    </row>
    <row r="475" customFormat="false" ht="15" hidden="false" customHeight="false" outlineLevel="0" collapsed="false">
      <c r="C475" s="0" t="n">
        <f aca="false">IF(AND(Comments!B473='Policy card'!$C$3,Comments!N473="Open"),1,0)</f>
        <v>0</v>
      </c>
      <c r="D475" s="0" t="str">
        <f aca="false">IF(C475=1,E475,IF(P475=1,$E$2003+Q475,""))</f>
        <v/>
      </c>
      <c r="E475" s="0" t="n">
        <f aca="false">E474+C475</f>
        <v>0</v>
      </c>
      <c r="L475" s="0" t="n">
        <f aca="false">IF(AND(Versions!B473&lt;&gt;"",Versions!B473='Policy card'!$C$3),1,0)</f>
        <v>0</v>
      </c>
      <c r="M475" s="0" t="str">
        <f aca="false">IF(L475=1,N475,"")</f>
        <v/>
      </c>
      <c r="N475" s="0" t="n">
        <f aca="false">N474+L475</f>
        <v>2</v>
      </c>
      <c r="P475" s="0" t="n">
        <f aca="false">IF(AND(Comments!B473='Policy card'!$C$3,Comments!N473="Closed"),1,0)</f>
        <v>0</v>
      </c>
      <c r="Q475" s="0" t="n">
        <f aca="false">Q474+P475</f>
        <v>7</v>
      </c>
    </row>
    <row r="476" customFormat="false" ht="15" hidden="false" customHeight="false" outlineLevel="0" collapsed="false">
      <c r="C476" s="0" t="n">
        <f aca="false">IF(AND(Comments!B474='Policy card'!$C$3,Comments!N474="Open"),1,0)</f>
        <v>0</v>
      </c>
      <c r="D476" s="0" t="str">
        <f aca="false">IF(C476=1,E476,IF(P476=1,$E$2003+Q476,""))</f>
        <v/>
      </c>
      <c r="E476" s="0" t="n">
        <f aca="false">E475+C476</f>
        <v>0</v>
      </c>
      <c r="L476" s="0" t="n">
        <f aca="false">IF(AND(Versions!B474&lt;&gt;"",Versions!B474='Policy card'!$C$3),1,0)</f>
        <v>0</v>
      </c>
      <c r="M476" s="0" t="str">
        <f aca="false">IF(L476=1,N476,"")</f>
        <v/>
      </c>
      <c r="N476" s="0" t="n">
        <f aca="false">N475+L476</f>
        <v>2</v>
      </c>
      <c r="P476" s="0" t="n">
        <f aca="false">IF(AND(Comments!B474='Policy card'!$C$3,Comments!N474="Closed"),1,0)</f>
        <v>0</v>
      </c>
      <c r="Q476" s="0" t="n">
        <f aca="false">Q475+P476</f>
        <v>7</v>
      </c>
    </row>
    <row r="477" customFormat="false" ht="15" hidden="false" customHeight="false" outlineLevel="0" collapsed="false">
      <c r="C477" s="0" t="n">
        <f aca="false">IF(AND(Comments!B475='Policy card'!$C$3,Comments!N475="Open"),1,0)</f>
        <v>0</v>
      </c>
      <c r="D477" s="0" t="str">
        <f aca="false">IF(C477=1,E477,IF(P477=1,$E$2003+Q477,""))</f>
        <v/>
      </c>
      <c r="E477" s="0" t="n">
        <f aca="false">E476+C477</f>
        <v>0</v>
      </c>
      <c r="L477" s="0" t="n">
        <f aca="false">IF(AND(Versions!B475&lt;&gt;"",Versions!B475='Policy card'!$C$3),1,0)</f>
        <v>0</v>
      </c>
      <c r="M477" s="0" t="str">
        <f aca="false">IF(L477=1,N477,"")</f>
        <v/>
      </c>
      <c r="N477" s="0" t="n">
        <f aca="false">N476+L477</f>
        <v>2</v>
      </c>
      <c r="P477" s="0" t="n">
        <f aca="false">IF(AND(Comments!B475='Policy card'!$C$3,Comments!N475="Closed"),1,0)</f>
        <v>0</v>
      </c>
      <c r="Q477" s="0" t="n">
        <f aca="false">Q476+P477</f>
        <v>7</v>
      </c>
    </row>
    <row r="478" customFormat="false" ht="15" hidden="false" customHeight="false" outlineLevel="0" collapsed="false">
      <c r="C478" s="0" t="n">
        <f aca="false">IF(AND(Comments!B476='Policy card'!$C$3,Comments!N476="Open"),1,0)</f>
        <v>0</v>
      </c>
      <c r="D478" s="0" t="str">
        <f aca="false">IF(C478=1,E478,IF(P478=1,$E$2003+Q478,""))</f>
        <v/>
      </c>
      <c r="E478" s="0" t="n">
        <f aca="false">E477+C478</f>
        <v>0</v>
      </c>
      <c r="L478" s="0" t="n">
        <f aca="false">IF(AND(Versions!B476&lt;&gt;"",Versions!B476='Policy card'!$C$3),1,0)</f>
        <v>0</v>
      </c>
      <c r="M478" s="0" t="str">
        <f aca="false">IF(L478=1,N478,"")</f>
        <v/>
      </c>
      <c r="N478" s="0" t="n">
        <f aca="false">N477+L478</f>
        <v>2</v>
      </c>
      <c r="P478" s="0" t="n">
        <f aca="false">IF(AND(Comments!B476='Policy card'!$C$3,Comments!N476="Closed"),1,0)</f>
        <v>0</v>
      </c>
      <c r="Q478" s="0" t="n">
        <f aca="false">Q477+P478</f>
        <v>7</v>
      </c>
    </row>
    <row r="479" customFormat="false" ht="15" hidden="false" customHeight="false" outlineLevel="0" collapsed="false">
      <c r="C479" s="0" t="n">
        <f aca="false">IF(AND(Comments!B477='Policy card'!$C$3,Comments!N477="Open"),1,0)</f>
        <v>0</v>
      </c>
      <c r="D479" s="0" t="str">
        <f aca="false">IF(C479=1,E479,IF(P479=1,$E$2003+Q479,""))</f>
        <v/>
      </c>
      <c r="E479" s="0" t="n">
        <f aca="false">E478+C479</f>
        <v>0</v>
      </c>
      <c r="L479" s="0" t="n">
        <f aca="false">IF(AND(Versions!B477&lt;&gt;"",Versions!B477='Policy card'!$C$3),1,0)</f>
        <v>0</v>
      </c>
      <c r="M479" s="0" t="str">
        <f aca="false">IF(L479=1,N479,"")</f>
        <v/>
      </c>
      <c r="N479" s="0" t="n">
        <f aca="false">N478+L479</f>
        <v>2</v>
      </c>
      <c r="P479" s="0" t="n">
        <f aca="false">IF(AND(Comments!B477='Policy card'!$C$3,Comments!N477="Closed"),1,0)</f>
        <v>0</v>
      </c>
      <c r="Q479" s="0" t="n">
        <f aca="false">Q478+P479</f>
        <v>7</v>
      </c>
    </row>
    <row r="480" customFormat="false" ht="15" hidden="false" customHeight="false" outlineLevel="0" collapsed="false">
      <c r="C480" s="0" t="n">
        <f aca="false">IF(AND(Comments!B478='Policy card'!$C$3,Comments!N478="Open"),1,0)</f>
        <v>0</v>
      </c>
      <c r="D480" s="0" t="str">
        <f aca="false">IF(C480=1,E480,IF(P480=1,$E$2003+Q480,""))</f>
        <v/>
      </c>
      <c r="E480" s="0" t="n">
        <f aca="false">E479+C480</f>
        <v>0</v>
      </c>
      <c r="L480" s="0" t="n">
        <f aca="false">IF(AND(Versions!B478&lt;&gt;"",Versions!B478='Policy card'!$C$3),1,0)</f>
        <v>0</v>
      </c>
      <c r="M480" s="0" t="str">
        <f aca="false">IF(L480=1,N480,"")</f>
        <v/>
      </c>
      <c r="N480" s="0" t="n">
        <f aca="false">N479+L480</f>
        <v>2</v>
      </c>
      <c r="P480" s="0" t="n">
        <f aca="false">IF(AND(Comments!B478='Policy card'!$C$3,Comments!N478="Closed"),1,0)</f>
        <v>0</v>
      </c>
      <c r="Q480" s="0" t="n">
        <f aca="false">Q479+P480</f>
        <v>7</v>
      </c>
    </row>
    <row r="481" customFormat="false" ht="15" hidden="false" customHeight="false" outlineLevel="0" collapsed="false">
      <c r="C481" s="0" t="n">
        <f aca="false">IF(AND(Comments!B479='Policy card'!$C$3,Comments!N479="Open"),1,0)</f>
        <v>0</v>
      </c>
      <c r="D481" s="0" t="str">
        <f aca="false">IF(C481=1,E481,IF(P481=1,$E$2003+Q481,""))</f>
        <v/>
      </c>
      <c r="E481" s="0" t="n">
        <f aca="false">E480+C481</f>
        <v>0</v>
      </c>
      <c r="L481" s="0" t="n">
        <f aca="false">IF(AND(Versions!B479&lt;&gt;"",Versions!B479='Policy card'!$C$3),1,0)</f>
        <v>0</v>
      </c>
      <c r="M481" s="0" t="str">
        <f aca="false">IF(L481=1,N481,"")</f>
        <v/>
      </c>
      <c r="N481" s="0" t="n">
        <f aca="false">N480+L481</f>
        <v>2</v>
      </c>
      <c r="P481" s="0" t="n">
        <f aca="false">IF(AND(Comments!B479='Policy card'!$C$3,Comments!N479="Closed"),1,0)</f>
        <v>0</v>
      </c>
      <c r="Q481" s="0" t="n">
        <f aca="false">Q480+P481</f>
        <v>7</v>
      </c>
    </row>
    <row r="482" customFormat="false" ht="15" hidden="false" customHeight="false" outlineLevel="0" collapsed="false">
      <c r="C482" s="0" t="n">
        <f aca="false">IF(AND(Comments!B480='Policy card'!$C$3,Comments!N480="Open"),1,0)</f>
        <v>0</v>
      </c>
      <c r="D482" s="0" t="str">
        <f aca="false">IF(C482=1,E482,IF(P482=1,$E$2003+Q482,""))</f>
        <v/>
      </c>
      <c r="E482" s="0" t="n">
        <f aca="false">E481+C482</f>
        <v>0</v>
      </c>
      <c r="L482" s="0" t="n">
        <f aca="false">IF(AND(Versions!B480&lt;&gt;"",Versions!B480='Policy card'!$C$3),1,0)</f>
        <v>0</v>
      </c>
      <c r="M482" s="0" t="str">
        <f aca="false">IF(L482=1,N482,"")</f>
        <v/>
      </c>
      <c r="N482" s="0" t="n">
        <f aca="false">N481+L482</f>
        <v>2</v>
      </c>
      <c r="P482" s="0" t="n">
        <f aca="false">IF(AND(Comments!B480='Policy card'!$C$3,Comments!N480="Closed"),1,0)</f>
        <v>0</v>
      </c>
      <c r="Q482" s="0" t="n">
        <f aca="false">Q481+P482</f>
        <v>7</v>
      </c>
    </row>
    <row r="483" customFormat="false" ht="15" hidden="false" customHeight="false" outlineLevel="0" collapsed="false">
      <c r="C483" s="0" t="n">
        <f aca="false">IF(AND(Comments!B481='Policy card'!$C$3,Comments!N481="Open"),1,0)</f>
        <v>0</v>
      </c>
      <c r="D483" s="0" t="str">
        <f aca="false">IF(C483=1,E483,IF(P483=1,$E$2003+Q483,""))</f>
        <v/>
      </c>
      <c r="E483" s="0" t="n">
        <f aca="false">E482+C483</f>
        <v>0</v>
      </c>
      <c r="L483" s="0" t="n">
        <f aca="false">IF(AND(Versions!B481&lt;&gt;"",Versions!B481='Policy card'!$C$3),1,0)</f>
        <v>0</v>
      </c>
      <c r="M483" s="0" t="str">
        <f aca="false">IF(L483=1,N483,"")</f>
        <v/>
      </c>
      <c r="N483" s="0" t="n">
        <f aca="false">N482+L483</f>
        <v>2</v>
      </c>
      <c r="P483" s="0" t="n">
        <f aca="false">IF(AND(Comments!B481='Policy card'!$C$3,Comments!N481="Closed"),1,0)</f>
        <v>0</v>
      </c>
      <c r="Q483" s="0" t="n">
        <f aca="false">Q482+P483</f>
        <v>7</v>
      </c>
    </row>
    <row r="484" customFormat="false" ht="15" hidden="false" customHeight="false" outlineLevel="0" collapsed="false">
      <c r="C484" s="0" t="n">
        <f aca="false">IF(AND(Comments!B482='Policy card'!$C$3,Comments!N482="Open"),1,0)</f>
        <v>0</v>
      </c>
      <c r="D484" s="0" t="str">
        <f aca="false">IF(C484=1,E484,IF(P484=1,$E$2003+Q484,""))</f>
        <v/>
      </c>
      <c r="E484" s="0" t="n">
        <f aca="false">E483+C484</f>
        <v>0</v>
      </c>
      <c r="L484" s="0" t="n">
        <f aca="false">IF(AND(Versions!B482&lt;&gt;"",Versions!B482='Policy card'!$C$3),1,0)</f>
        <v>0</v>
      </c>
      <c r="M484" s="0" t="str">
        <f aca="false">IF(L484=1,N484,"")</f>
        <v/>
      </c>
      <c r="N484" s="0" t="n">
        <f aca="false">N483+L484</f>
        <v>2</v>
      </c>
      <c r="P484" s="0" t="n">
        <f aca="false">IF(AND(Comments!B482='Policy card'!$C$3,Comments!N482="Closed"),1,0)</f>
        <v>0</v>
      </c>
      <c r="Q484" s="0" t="n">
        <f aca="false">Q483+P484</f>
        <v>7</v>
      </c>
    </row>
    <row r="485" customFormat="false" ht="15" hidden="false" customHeight="false" outlineLevel="0" collapsed="false">
      <c r="C485" s="0" t="n">
        <f aca="false">IF(AND(Comments!B483='Policy card'!$C$3,Comments!N483="Open"),1,0)</f>
        <v>0</v>
      </c>
      <c r="D485" s="0" t="str">
        <f aca="false">IF(C485=1,E485,IF(P485=1,$E$2003+Q485,""))</f>
        <v/>
      </c>
      <c r="E485" s="0" t="n">
        <f aca="false">E484+C485</f>
        <v>0</v>
      </c>
      <c r="L485" s="0" t="n">
        <f aca="false">IF(AND(Versions!B483&lt;&gt;"",Versions!B483='Policy card'!$C$3),1,0)</f>
        <v>0</v>
      </c>
      <c r="M485" s="0" t="str">
        <f aca="false">IF(L485=1,N485,"")</f>
        <v/>
      </c>
      <c r="N485" s="0" t="n">
        <f aca="false">N484+L485</f>
        <v>2</v>
      </c>
      <c r="P485" s="0" t="n">
        <f aca="false">IF(AND(Comments!B483='Policy card'!$C$3,Comments!N483="Closed"),1,0)</f>
        <v>0</v>
      </c>
      <c r="Q485" s="0" t="n">
        <f aca="false">Q484+P485</f>
        <v>7</v>
      </c>
    </row>
    <row r="486" customFormat="false" ht="15" hidden="false" customHeight="false" outlineLevel="0" collapsed="false">
      <c r="C486" s="0" t="n">
        <f aca="false">IF(AND(Comments!B484='Policy card'!$C$3,Comments!N484="Open"),1,0)</f>
        <v>0</v>
      </c>
      <c r="D486" s="0" t="str">
        <f aca="false">IF(C486=1,E486,IF(P486=1,$E$2003+Q486,""))</f>
        <v/>
      </c>
      <c r="E486" s="0" t="n">
        <f aca="false">E485+C486</f>
        <v>0</v>
      </c>
      <c r="L486" s="0" t="n">
        <f aca="false">IF(AND(Versions!B484&lt;&gt;"",Versions!B484='Policy card'!$C$3),1,0)</f>
        <v>0</v>
      </c>
      <c r="M486" s="0" t="str">
        <f aca="false">IF(L486=1,N486,"")</f>
        <v/>
      </c>
      <c r="N486" s="0" t="n">
        <f aca="false">N485+L486</f>
        <v>2</v>
      </c>
      <c r="P486" s="0" t="n">
        <f aca="false">IF(AND(Comments!B484='Policy card'!$C$3,Comments!N484="Closed"),1,0)</f>
        <v>0</v>
      </c>
      <c r="Q486" s="0" t="n">
        <f aca="false">Q485+P486</f>
        <v>7</v>
      </c>
    </row>
    <row r="487" customFormat="false" ht="15" hidden="false" customHeight="false" outlineLevel="0" collapsed="false">
      <c r="C487" s="0" t="n">
        <f aca="false">IF(AND(Comments!B485='Policy card'!$C$3,Comments!N485="Open"),1,0)</f>
        <v>0</v>
      </c>
      <c r="D487" s="0" t="str">
        <f aca="false">IF(C487=1,E487,IF(P487=1,$E$2003+Q487,""))</f>
        <v/>
      </c>
      <c r="E487" s="0" t="n">
        <f aca="false">E486+C487</f>
        <v>0</v>
      </c>
      <c r="L487" s="0" t="n">
        <f aca="false">IF(AND(Versions!B485&lt;&gt;"",Versions!B485='Policy card'!$C$3),1,0)</f>
        <v>0</v>
      </c>
      <c r="M487" s="0" t="str">
        <f aca="false">IF(L487=1,N487,"")</f>
        <v/>
      </c>
      <c r="N487" s="0" t="n">
        <f aca="false">N486+L487</f>
        <v>2</v>
      </c>
      <c r="P487" s="0" t="n">
        <f aca="false">IF(AND(Comments!B485='Policy card'!$C$3,Comments!N485="Closed"),1,0)</f>
        <v>0</v>
      </c>
      <c r="Q487" s="0" t="n">
        <f aca="false">Q486+P487</f>
        <v>7</v>
      </c>
    </row>
    <row r="488" customFormat="false" ht="15" hidden="false" customHeight="false" outlineLevel="0" collapsed="false">
      <c r="C488" s="0" t="n">
        <f aca="false">IF(AND(Comments!B486='Policy card'!$C$3,Comments!N486="Open"),1,0)</f>
        <v>0</v>
      </c>
      <c r="D488" s="0" t="str">
        <f aca="false">IF(C488=1,E488,IF(P488=1,$E$2003+Q488,""))</f>
        <v/>
      </c>
      <c r="E488" s="0" t="n">
        <f aca="false">E487+C488</f>
        <v>0</v>
      </c>
      <c r="L488" s="0" t="n">
        <f aca="false">IF(AND(Versions!B486&lt;&gt;"",Versions!B486='Policy card'!$C$3),1,0)</f>
        <v>0</v>
      </c>
      <c r="M488" s="0" t="str">
        <f aca="false">IF(L488=1,N488,"")</f>
        <v/>
      </c>
      <c r="N488" s="0" t="n">
        <f aca="false">N487+L488</f>
        <v>2</v>
      </c>
      <c r="P488" s="0" t="n">
        <f aca="false">IF(AND(Comments!B486='Policy card'!$C$3,Comments!N486="Closed"),1,0)</f>
        <v>0</v>
      </c>
      <c r="Q488" s="0" t="n">
        <f aca="false">Q487+P488</f>
        <v>7</v>
      </c>
    </row>
    <row r="489" customFormat="false" ht="15" hidden="false" customHeight="false" outlineLevel="0" collapsed="false">
      <c r="C489" s="0" t="n">
        <f aca="false">IF(AND(Comments!B487='Policy card'!$C$3,Comments!N487="Open"),1,0)</f>
        <v>0</v>
      </c>
      <c r="D489" s="0" t="str">
        <f aca="false">IF(C489=1,E489,IF(P489=1,$E$2003+Q489,""))</f>
        <v/>
      </c>
      <c r="E489" s="0" t="n">
        <f aca="false">E488+C489</f>
        <v>0</v>
      </c>
      <c r="L489" s="0" t="n">
        <f aca="false">IF(AND(Versions!B487&lt;&gt;"",Versions!B487='Policy card'!$C$3),1,0)</f>
        <v>0</v>
      </c>
      <c r="M489" s="0" t="str">
        <f aca="false">IF(L489=1,N489,"")</f>
        <v/>
      </c>
      <c r="N489" s="0" t="n">
        <f aca="false">N488+L489</f>
        <v>2</v>
      </c>
      <c r="P489" s="0" t="n">
        <f aca="false">IF(AND(Comments!B487='Policy card'!$C$3,Comments!N487="Closed"),1,0)</f>
        <v>0</v>
      </c>
      <c r="Q489" s="0" t="n">
        <f aca="false">Q488+P489</f>
        <v>7</v>
      </c>
    </row>
    <row r="490" customFormat="false" ht="15" hidden="false" customHeight="false" outlineLevel="0" collapsed="false">
      <c r="C490" s="0" t="n">
        <f aca="false">IF(AND(Comments!B488='Policy card'!$C$3,Comments!N488="Open"),1,0)</f>
        <v>0</v>
      </c>
      <c r="D490" s="0" t="str">
        <f aca="false">IF(C490=1,E490,IF(P490=1,$E$2003+Q490,""))</f>
        <v/>
      </c>
      <c r="E490" s="0" t="n">
        <f aca="false">E489+C490</f>
        <v>0</v>
      </c>
      <c r="L490" s="0" t="n">
        <f aca="false">IF(AND(Versions!B488&lt;&gt;"",Versions!B488='Policy card'!$C$3),1,0)</f>
        <v>0</v>
      </c>
      <c r="M490" s="0" t="str">
        <f aca="false">IF(L490=1,N490,"")</f>
        <v/>
      </c>
      <c r="N490" s="0" t="n">
        <f aca="false">N489+L490</f>
        <v>2</v>
      </c>
      <c r="P490" s="0" t="n">
        <f aca="false">IF(AND(Comments!B488='Policy card'!$C$3,Comments!N488="Closed"),1,0)</f>
        <v>0</v>
      </c>
      <c r="Q490" s="0" t="n">
        <f aca="false">Q489+P490</f>
        <v>7</v>
      </c>
    </row>
    <row r="491" customFormat="false" ht="15" hidden="false" customHeight="false" outlineLevel="0" collapsed="false">
      <c r="C491" s="0" t="n">
        <f aca="false">IF(AND(Comments!B489='Policy card'!$C$3,Comments!N489="Open"),1,0)</f>
        <v>0</v>
      </c>
      <c r="D491" s="0" t="str">
        <f aca="false">IF(C491=1,E491,IF(P491=1,$E$2003+Q491,""))</f>
        <v/>
      </c>
      <c r="E491" s="0" t="n">
        <f aca="false">E490+C491</f>
        <v>0</v>
      </c>
      <c r="L491" s="0" t="n">
        <f aca="false">IF(AND(Versions!B489&lt;&gt;"",Versions!B489='Policy card'!$C$3),1,0)</f>
        <v>0</v>
      </c>
      <c r="M491" s="0" t="str">
        <f aca="false">IF(L491=1,N491,"")</f>
        <v/>
      </c>
      <c r="N491" s="0" t="n">
        <f aca="false">N490+L491</f>
        <v>2</v>
      </c>
      <c r="P491" s="0" t="n">
        <f aca="false">IF(AND(Comments!B489='Policy card'!$C$3,Comments!N489="Closed"),1,0)</f>
        <v>0</v>
      </c>
      <c r="Q491" s="0" t="n">
        <f aca="false">Q490+P491</f>
        <v>7</v>
      </c>
    </row>
    <row r="492" customFormat="false" ht="15" hidden="false" customHeight="false" outlineLevel="0" collapsed="false">
      <c r="C492" s="0" t="n">
        <f aca="false">IF(AND(Comments!B490='Policy card'!$C$3,Comments!N490="Open"),1,0)</f>
        <v>0</v>
      </c>
      <c r="D492" s="0" t="str">
        <f aca="false">IF(C492=1,E492,IF(P492=1,$E$2003+Q492,""))</f>
        <v/>
      </c>
      <c r="E492" s="0" t="n">
        <f aca="false">E491+C492</f>
        <v>0</v>
      </c>
      <c r="L492" s="0" t="n">
        <f aca="false">IF(AND(Versions!B490&lt;&gt;"",Versions!B490='Policy card'!$C$3),1,0)</f>
        <v>0</v>
      </c>
      <c r="M492" s="0" t="str">
        <f aca="false">IF(L492=1,N492,"")</f>
        <v/>
      </c>
      <c r="N492" s="0" t="n">
        <f aca="false">N491+L492</f>
        <v>2</v>
      </c>
      <c r="P492" s="0" t="n">
        <f aca="false">IF(AND(Comments!B490='Policy card'!$C$3,Comments!N490="Closed"),1,0)</f>
        <v>0</v>
      </c>
      <c r="Q492" s="0" t="n">
        <f aca="false">Q491+P492</f>
        <v>7</v>
      </c>
    </row>
    <row r="493" customFormat="false" ht="15" hidden="false" customHeight="false" outlineLevel="0" collapsed="false">
      <c r="C493" s="0" t="n">
        <f aca="false">IF(AND(Comments!B491='Policy card'!$C$3,Comments!N491="Open"),1,0)</f>
        <v>0</v>
      </c>
      <c r="D493" s="0" t="str">
        <f aca="false">IF(C493=1,E493,IF(P493=1,$E$2003+Q493,""))</f>
        <v/>
      </c>
      <c r="E493" s="0" t="n">
        <f aca="false">E492+C493</f>
        <v>0</v>
      </c>
      <c r="L493" s="0" t="n">
        <f aca="false">IF(AND(Versions!B491&lt;&gt;"",Versions!B491='Policy card'!$C$3),1,0)</f>
        <v>0</v>
      </c>
      <c r="M493" s="0" t="str">
        <f aca="false">IF(L493=1,N493,"")</f>
        <v/>
      </c>
      <c r="N493" s="0" t="n">
        <f aca="false">N492+L493</f>
        <v>2</v>
      </c>
      <c r="P493" s="0" t="n">
        <f aca="false">IF(AND(Comments!B491='Policy card'!$C$3,Comments!N491="Closed"),1,0)</f>
        <v>0</v>
      </c>
      <c r="Q493" s="0" t="n">
        <f aca="false">Q492+P493</f>
        <v>7</v>
      </c>
    </row>
    <row r="494" customFormat="false" ht="15" hidden="false" customHeight="false" outlineLevel="0" collapsed="false">
      <c r="C494" s="0" t="n">
        <f aca="false">IF(AND(Comments!B492='Policy card'!$C$3,Comments!N492="Open"),1,0)</f>
        <v>0</v>
      </c>
      <c r="D494" s="0" t="str">
        <f aca="false">IF(C494=1,E494,IF(P494=1,$E$2003+Q494,""))</f>
        <v/>
      </c>
      <c r="E494" s="0" t="n">
        <f aca="false">E493+C494</f>
        <v>0</v>
      </c>
      <c r="L494" s="0" t="n">
        <f aca="false">IF(AND(Versions!B492&lt;&gt;"",Versions!B492='Policy card'!$C$3),1,0)</f>
        <v>0</v>
      </c>
      <c r="M494" s="0" t="str">
        <f aca="false">IF(L494=1,N494,"")</f>
        <v/>
      </c>
      <c r="N494" s="0" t="n">
        <f aca="false">N493+L494</f>
        <v>2</v>
      </c>
      <c r="P494" s="0" t="n">
        <f aca="false">IF(AND(Comments!B492='Policy card'!$C$3,Comments!N492="Closed"),1,0)</f>
        <v>0</v>
      </c>
      <c r="Q494" s="0" t="n">
        <f aca="false">Q493+P494</f>
        <v>7</v>
      </c>
    </row>
    <row r="495" customFormat="false" ht="15" hidden="false" customHeight="false" outlineLevel="0" collapsed="false">
      <c r="C495" s="0" t="n">
        <f aca="false">IF(AND(Comments!B493='Policy card'!$C$3,Comments!N493="Open"),1,0)</f>
        <v>0</v>
      </c>
      <c r="D495" s="0" t="str">
        <f aca="false">IF(C495=1,E495,IF(P495=1,$E$2003+Q495,""))</f>
        <v/>
      </c>
      <c r="E495" s="0" t="n">
        <f aca="false">E494+C495</f>
        <v>0</v>
      </c>
      <c r="L495" s="0" t="n">
        <f aca="false">IF(AND(Versions!B493&lt;&gt;"",Versions!B493='Policy card'!$C$3),1,0)</f>
        <v>0</v>
      </c>
      <c r="M495" s="0" t="str">
        <f aca="false">IF(L495=1,N495,"")</f>
        <v/>
      </c>
      <c r="N495" s="0" t="n">
        <f aca="false">N494+L495</f>
        <v>2</v>
      </c>
      <c r="P495" s="0" t="n">
        <f aca="false">IF(AND(Comments!B493='Policy card'!$C$3,Comments!N493="Closed"),1,0)</f>
        <v>0</v>
      </c>
      <c r="Q495" s="0" t="n">
        <f aca="false">Q494+P495</f>
        <v>7</v>
      </c>
    </row>
    <row r="496" customFormat="false" ht="15" hidden="false" customHeight="false" outlineLevel="0" collapsed="false">
      <c r="C496" s="0" t="n">
        <f aca="false">IF(AND(Comments!B494='Policy card'!$C$3,Comments!N494="Open"),1,0)</f>
        <v>0</v>
      </c>
      <c r="D496" s="0" t="str">
        <f aca="false">IF(C496=1,E496,IF(P496=1,$E$2003+Q496,""))</f>
        <v/>
      </c>
      <c r="E496" s="0" t="n">
        <f aca="false">E495+C496</f>
        <v>0</v>
      </c>
      <c r="L496" s="0" t="n">
        <f aca="false">IF(AND(Versions!B494&lt;&gt;"",Versions!B494='Policy card'!$C$3),1,0)</f>
        <v>0</v>
      </c>
      <c r="M496" s="0" t="str">
        <f aca="false">IF(L496=1,N496,"")</f>
        <v/>
      </c>
      <c r="N496" s="0" t="n">
        <f aca="false">N495+L496</f>
        <v>2</v>
      </c>
      <c r="P496" s="0" t="n">
        <f aca="false">IF(AND(Comments!B494='Policy card'!$C$3,Comments!N494="Closed"),1,0)</f>
        <v>0</v>
      </c>
      <c r="Q496" s="0" t="n">
        <f aca="false">Q495+P496</f>
        <v>7</v>
      </c>
    </row>
    <row r="497" customFormat="false" ht="15" hidden="false" customHeight="false" outlineLevel="0" collapsed="false">
      <c r="C497" s="0" t="n">
        <f aca="false">IF(AND(Comments!B495='Policy card'!$C$3,Comments!N495="Open"),1,0)</f>
        <v>0</v>
      </c>
      <c r="D497" s="0" t="str">
        <f aca="false">IF(C497=1,E497,IF(P497=1,$E$2003+Q497,""))</f>
        <v/>
      </c>
      <c r="E497" s="0" t="n">
        <f aca="false">E496+C497</f>
        <v>0</v>
      </c>
      <c r="L497" s="0" t="n">
        <f aca="false">IF(AND(Versions!B495&lt;&gt;"",Versions!B495='Policy card'!$C$3),1,0)</f>
        <v>0</v>
      </c>
      <c r="M497" s="0" t="str">
        <f aca="false">IF(L497=1,N497,"")</f>
        <v/>
      </c>
      <c r="N497" s="0" t="n">
        <f aca="false">N496+L497</f>
        <v>2</v>
      </c>
      <c r="P497" s="0" t="n">
        <f aca="false">IF(AND(Comments!B495='Policy card'!$C$3,Comments!N495="Closed"),1,0)</f>
        <v>0</v>
      </c>
      <c r="Q497" s="0" t="n">
        <f aca="false">Q496+P497</f>
        <v>7</v>
      </c>
    </row>
    <row r="498" customFormat="false" ht="15" hidden="false" customHeight="false" outlineLevel="0" collapsed="false">
      <c r="C498" s="0" t="n">
        <f aca="false">IF(AND(Comments!B496='Policy card'!$C$3,Comments!N496="Open"),1,0)</f>
        <v>0</v>
      </c>
      <c r="D498" s="0" t="str">
        <f aca="false">IF(C498=1,E498,IF(P498=1,$E$2003+Q498,""))</f>
        <v/>
      </c>
      <c r="E498" s="0" t="n">
        <f aca="false">E497+C498</f>
        <v>0</v>
      </c>
      <c r="L498" s="0" t="n">
        <f aca="false">IF(AND(Versions!B496&lt;&gt;"",Versions!B496='Policy card'!$C$3),1,0)</f>
        <v>0</v>
      </c>
      <c r="M498" s="0" t="str">
        <f aca="false">IF(L498=1,N498,"")</f>
        <v/>
      </c>
      <c r="N498" s="0" t="n">
        <f aca="false">N497+L498</f>
        <v>2</v>
      </c>
      <c r="P498" s="0" t="n">
        <f aca="false">IF(AND(Comments!B496='Policy card'!$C$3,Comments!N496="Closed"),1,0)</f>
        <v>0</v>
      </c>
      <c r="Q498" s="0" t="n">
        <f aca="false">Q497+P498</f>
        <v>7</v>
      </c>
    </row>
    <row r="499" customFormat="false" ht="15" hidden="false" customHeight="false" outlineLevel="0" collapsed="false">
      <c r="C499" s="0" t="n">
        <f aca="false">IF(AND(Comments!B497='Policy card'!$C$3,Comments!N497="Open"),1,0)</f>
        <v>0</v>
      </c>
      <c r="D499" s="0" t="str">
        <f aca="false">IF(C499=1,E499,IF(P499=1,$E$2003+Q499,""))</f>
        <v/>
      </c>
      <c r="E499" s="0" t="n">
        <f aca="false">E498+C499</f>
        <v>0</v>
      </c>
      <c r="L499" s="0" t="n">
        <f aca="false">IF(AND(Versions!B497&lt;&gt;"",Versions!B497='Policy card'!$C$3),1,0)</f>
        <v>0</v>
      </c>
      <c r="M499" s="0" t="str">
        <f aca="false">IF(L499=1,N499,"")</f>
        <v/>
      </c>
      <c r="N499" s="0" t="n">
        <f aca="false">N498+L499</f>
        <v>2</v>
      </c>
      <c r="P499" s="0" t="n">
        <f aca="false">IF(AND(Comments!B497='Policy card'!$C$3,Comments!N497="Closed"),1,0)</f>
        <v>0</v>
      </c>
      <c r="Q499" s="0" t="n">
        <f aca="false">Q498+P499</f>
        <v>7</v>
      </c>
    </row>
    <row r="500" customFormat="false" ht="15" hidden="false" customHeight="false" outlineLevel="0" collapsed="false">
      <c r="C500" s="0" t="n">
        <f aca="false">IF(AND(Comments!B498='Policy card'!$C$3,Comments!N498="Open"),1,0)</f>
        <v>0</v>
      </c>
      <c r="D500" s="0" t="str">
        <f aca="false">IF(C500=1,E500,IF(P500=1,$E$2003+Q500,""))</f>
        <v/>
      </c>
      <c r="E500" s="0" t="n">
        <f aca="false">E499+C500</f>
        <v>0</v>
      </c>
      <c r="L500" s="0" t="n">
        <f aca="false">IF(AND(Versions!B498&lt;&gt;"",Versions!B498='Policy card'!$C$3),1,0)</f>
        <v>0</v>
      </c>
      <c r="M500" s="0" t="str">
        <f aca="false">IF(L500=1,N500,"")</f>
        <v/>
      </c>
      <c r="N500" s="0" t="n">
        <f aca="false">N499+L500</f>
        <v>2</v>
      </c>
      <c r="P500" s="0" t="n">
        <f aca="false">IF(AND(Comments!B498='Policy card'!$C$3,Comments!N498="Closed"),1,0)</f>
        <v>0</v>
      </c>
      <c r="Q500" s="0" t="n">
        <f aca="false">Q499+P500</f>
        <v>7</v>
      </c>
    </row>
    <row r="501" customFormat="false" ht="15" hidden="false" customHeight="false" outlineLevel="0" collapsed="false">
      <c r="C501" s="0" t="n">
        <f aca="false">IF(AND(Comments!B499='Policy card'!$C$3,Comments!N499="Open"),1,0)</f>
        <v>0</v>
      </c>
      <c r="D501" s="0" t="str">
        <f aca="false">IF(C501=1,E501,IF(P501=1,$E$2003+Q501,""))</f>
        <v/>
      </c>
      <c r="E501" s="0" t="n">
        <f aca="false">E500+C501</f>
        <v>0</v>
      </c>
      <c r="L501" s="0" t="n">
        <f aca="false">IF(AND(Versions!B499&lt;&gt;"",Versions!B499='Policy card'!$C$3),1,0)</f>
        <v>0</v>
      </c>
      <c r="M501" s="0" t="str">
        <f aca="false">IF(L501=1,N501,"")</f>
        <v/>
      </c>
      <c r="N501" s="0" t="n">
        <f aca="false">N500+L501</f>
        <v>2</v>
      </c>
      <c r="P501" s="0" t="n">
        <f aca="false">IF(AND(Comments!B499='Policy card'!$C$3,Comments!N499="Closed"),1,0)</f>
        <v>0</v>
      </c>
      <c r="Q501" s="0" t="n">
        <f aca="false">Q500+P501</f>
        <v>7</v>
      </c>
    </row>
    <row r="502" customFormat="false" ht="15" hidden="false" customHeight="false" outlineLevel="0" collapsed="false">
      <c r="C502" s="0" t="n">
        <f aca="false">IF(AND(Comments!B500='Policy card'!$C$3,Comments!N500="Open"),1,0)</f>
        <v>0</v>
      </c>
      <c r="D502" s="0" t="str">
        <f aca="false">IF(C502=1,E502,IF(P502=1,$E$2003+Q502,""))</f>
        <v/>
      </c>
      <c r="E502" s="0" t="n">
        <f aca="false">E501+C502</f>
        <v>0</v>
      </c>
      <c r="L502" s="0" t="n">
        <f aca="false">IF(AND(Versions!B500&lt;&gt;"",Versions!B500='Policy card'!$C$3),1,0)</f>
        <v>0</v>
      </c>
      <c r="M502" s="0" t="str">
        <f aca="false">IF(L502=1,N502,"")</f>
        <v/>
      </c>
      <c r="N502" s="0" t="n">
        <f aca="false">N501+L502</f>
        <v>2</v>
      </c>
      <c r="P502" s="0" t="n">
        <f aca="false">IF(AND(Comments!B500='Policy card'!$C$3,Comments!N500="Closed"),1,0)</f>
        <v>0</v>
      </c>
      <c r="Q502" s="0" t="n">
        <f aca="false">Q501+P502</f>
        <v>7</v>
      </c>
    </row>
    <row r="503" customFormat="false" ht="15" hidden="false" customHeight="false" outlineLevel="0" collapsed="false">
      <c r="C503" s="0" t="n">
        <f aca="false">IF(AND(Comments!B501='Policy card'!$C$3,Comments!N501="Open"),1,0)</f>
        <v>0</v>
      </c>
      <c r="D503" s="0" t="str">
        <f aca="false">IF(C503=1,E503,IF(P503=1,$E$2003+Q503,""))</f>
        <v/>
      </c>
      <c r="E503" s="0" t="n">
        <f aca="false">E502+C503</f>
        <v>0</v>
      </c>
      <c r="L503" s="0" t="n">
        <f aca="false">IF(AND(Versions!B501&lt;&gt;"",Versions!B501='Policy card'!$C$3),1,0)</f>
        <v>0</v>
      </c>
      <c r="M503" s="0" t="str">
        <f aca="false">IF(L503=1,N503,"")</f>
        <v/>
      </c>
      <c r="N503" s="0" t="n">
        <f aca="false">N502+L503</f>
        <v>2</v>
      </c>
      <c r="P503" s="0" t="n">
        <f aca="false">IF(AND(Comments!B501='Policy card'!$C$3,Comments!N501="Closed"),1,0)</f>
        <v>0</v>
      </c>
      <c r="Q503" s="0" t="n">
        <f aca="false">Q502+P503</f>
        <v>7</v>
      </c>
    </row>
    <row r="504" customFormat="false" ht="15" hidden="false" customHeight="false" outlineLevel="0" collapsed="false">
      <c r="C504" s="0" t="n">
        <f aca="false">IF(AND(Comments!B502='Policy card'!$C$3,Comments!N502="Open"),1,0)</f>
        <v>0</v>
      </c>
      <c r="D504" s="0" t="str">
        <f aca="false">IF(C504=1,E504,IF(P504=1,$E$2003+Q504,""))</f>
        <v/>
      </c>
      <c r="E504" s="0" t="n">
        <f aca="false">E503+C504</f>
        <v>0</v>
      </c>
      <c r="P504" s="0" t="n">
        <f aca="false">IF(AND(Comments!B502='Policy card'!$C$3,Comments!N502="Closed"),1,0)</f>
        <v>0</v>
      </c>
      <c r="Q504" s="0" t="n">
        <f aca="false">Q503+P504</f>
        <v>7</v>
      </c>
    </row>
    <row r="505" customFormat="false" ht="15" hidden="false" customHeight="false" outlineLevel="0" collapsed="false">
      <c r="C505" s="0" t="n">
        <f aca="false">IF(AND(Comments!B503='Policy card'!$C$3,Comments!N503="Open"),1,0)</f>
        <v>0</v>
      </c>
      <c r="D505" s="0" t="str">
        <f aca="false">IF(C505=1,E505,IF(P505=1,$E$2003+Q505,""))</f>
        <v/>
      </c>
      <c r="E505" s="0" t="n">
        <f aca="false">E504+C505</f>
        <v>0</v>
      </c>
      <c r="P505" s="0" t="n">
        <f aca="false">IF(AND(Comments!B503='Policy card'!$C$3,Comments!N503="Closed"),1,0)</f>
        <v>0</v>
      </c>
      <c r="Q505" s="0" t="n">
        <f aca="false">Q504+P505</f>
        <v>7</v>
      </c>
    </row>
    <row r="506" customFormat="false" ht="15" hidden="false" customHeight="false" outlineLevel="0" collapsed="false">
      <c r="C506" s="0" t="n">
        <f aca="false">IF(AND(Comments!B504='Policy card'!$C$3,Comments!N504="Open"),1,0)</f>
        <v>0</v>
      </c>
      <c r="D506" s="0" t="str">
        <f aca="false">IF(C506=1,E506,IF(P506=1,$E$2003+Q506,""))</f>
        <v/>
      </c>
      <c r="E506" s="0" t="n">
        <f aca="false">E505+C506</f>
        <v>0</v>
      </c>
      <c r="P506" s="0" t="n">
        <f aca="false">IF(AND(Comments!B504='Policy card'!$C$3,Comments!N504="Closed"),1,0)</f>
        <v>0</v>
      </c>
      <c r="Q506" s="0" t="n">
        <f aca="false">Q505+P506</f>
        <v>7</v>
      </c>
    </row>
    <row r="507" customFormat="false" ht="15" hidden="false" customHeight="false" outlineLevel="0" collapsed="false">
      <c r="C507" s="0" t="n">
        <f aca="false">IF(AND(Comments!B505='Policy card'!$C$3,Comments!N505="Open"),1,0)</f>
        <v>0</v>
      </c>
      <c r="D507" s="0" t="str">
        <f aca="false">IF(C507=1,E507,IF(P507=1,$E$2003+Q507,""))</f>
        <v/>
      </c>
      <c r="E507" s="0" t="n">
        <f aca="false">E506+C507</f>
        <v>0</v>
      </c>
      <c r="P507" s="0" t="n">
        <f aca="false">IF(AND(Comments!B505='Policy card'!$C$3,Comments!N505="Closed"),1,0)</f>
        <v>0</v>
      </c>
      <c r="Q507" s="0" t="n">
        <f aca="false">Q506+P507</f>
        <v>7</v>
      </c>
    </row>
    <row r="508" customFormat="false" ht="15" hidden="false" customHeight="false" outlineLevel="0" collapsed="false">
      <c r="C508" s="0" t="n">
        <f aca="false">IF(AND(Comments!B506='Policy card'!$C$3,Comments!N506="Open"),1,0)</f>
        <v>0</v>
      </c>
      <c r="D508" s="0" t="str">
        <f aca="false">IF(C508=1,E508,IF(P508=1,$E$2003+Q508,""))</f>
        <v/>
      </c>
      <c r="E508" s="0" t="n">
        <f aca="false">E507+C508</f>
        <v>0</v>
      </c>
      <c r="P508" s="0" t="n">
        <f aca="false">IF(AND(Comments!B506='Policy card'!$C$3,Comments!N506="Closed"),1,0)</f>
        <v>0</v>
      </c>
      <c r="Q508" s="0" t="n">
        <f aca="false">Q507+P508</f>
        <v>7</v>
      </c>
    </row>
    <row r="509" customFormat="false" ht="15" hidden="false" customHeight="false" outlineLevel="0" collapsed="false">
      <c r="C509" s="0" t="n">
        <f aca="false">IF(AND(Comments!B507='Policy card'!$C$3,Comments!N507="Open"),1,0)</f>
        <v>0</v>
      </c>
      <c r="D509" s="0" t="str">
        <f aca="false">IF(C509=1,E509,IF(P509=1,$E$2003+Q509,""))</f>
        <v/>
      </c>
      <c r="E509" s="0" t="n">
        <f aca="false">E508+C509</f>
        <v>0</v>
      </c>
      <c r="P509" s="0" t="n">
        <f aca="false">IF(AND(Comments!B507='Policy card'!$C$3,Comments!N507="Closed"),1,0)</f>
        <v>0</v>
      </c>
      <c r="Q509" s="0" t="n">
        <f aca="false">Q508+P509</f>
        <v>7</v>
      </c>
    </row>
    <row r="510" customFormat="false" ht="15" hidden="false" customHeight="false" outlineLevel="0" collapsed="false">
      <c r="C510" s="0" t="n">
        <f aca="false">IF(AND(Comments!B508='Policy card'!$C$3,Comments!N508="Open"),1,0)</f>
        <v>0</v>
      </c>
      <c r="D510" s="0" t="str">
        <f aca="false">IF(C510=1,E510,IF(P510=1,$E$2003+Q510,""))</f>
        <v/>
      </c>
      <c r="E510" s="0" t="n">
        <f aca="false">E509+C510</f>
        <v>0</v>
      </c>
      <c r="P510" s="0" t="n">
        <f aca="false">IF(AND(Comments!B508='Policy card'!$C$3,Comments!N508="Closed"),1,0)</f>
        <v>0</v>
      </c>
      <c r="Q510" s="0" t="n">
        <f aca="false">Q509+P510</f>
        <v>7</v>
      </c>
    </row>
    <row r="511" customFormat="false" ht="15" hidden="false" customHeight="false" outlineLevel="0" collapsed="false">
      <c r="C511" s="0" t="n">
        <f aca="false">IF(AND(Comments!B509='Policy card'!$C$3,Comments!N509="Open"),1,0)</f>
        <v>0</v>
      </c>
      <c r="D511" s="0" t="str">
        <f aca="false">IF(C511=1,E511,IF(P511=1,$E$2003+Q511,""))</f>
        <v/>
      </c>
      <c r="E511" s="0" t="n">
        <f aca="false">E510+C511</f>
        <v>0</v>
      </c>
      <c r="P511" s="0" t="n">
        <f aca="false">IF(AND(Comments!B509='Policy card'!$C$3,Comments!N509="Closed"),1,0)</f>
        <v>0</v>
      </c>
      <c r="Q511" s="0" t="n">
        <f aca="false">Q510+P511</f>
        <v>7</v>
      </c>
    </row>
    <row r="512" customFormat="false" ht="15" hidden="false" customHeight="false" outlineLevel="0" collapsed="false">
      <c r="C512" s="0" t="n">
        <f aca="false">IF(AND(Comments!B510='Policy card'!$C$3,Comments!N510="Open"),1,0)</f>
        <v>0</v>
      </c>
      <c r="D512" s="0" t="str">
        <f aca="false">IF(C512=1,E512,IF(P512=1,$E$2003+Q512,""))</f>
        <v/>
      </c>
      <c r="E512" s="0" t="n">
        <f aca="false">E511+C512</f>
        <v>0</v>
      </c>
      <c r="P512" s="0" t="n">
        <f aca="false">IF(AND(Comments!B510='Policy card'!$C$3,Comments!N510="Closed"),1,0)</f>
        <v>0</v>
      </c>
      <c r="Q512" s="0" t="n">
        <f aca="false">Q511+P512</f>
        <v>7</v>
      </c>
    </row>
    <row r="513" customFormat="false" ht="15" hidden="false" customHeight="false" outlineLevel="0" collapsed="false">
      <c r="C513" s="0" t="n">
        <f aca="false">IF(AND(Comments!B511='Policy card'!$C$3,Comments!N511="Open"),1,0)</f>
        <v>0</v>
      </c>
      <c r="D513" s="0" t="str">
        <f aca="false">IF(C513=1,E513,IF(P513=1,$E$2003+Q513,""))</f>
        <v/>
      </c>
      <c r="E513" s="0" t="n">
        <f aca="false">E512+C513</f>
        <v>0</v>
      </c>
      <c r="P513" s="0" t="n">
        <f aca="false">IF(AND(Comments!B511='Policy card'!$C$3,Comments!N511="Closed"),1,0)</f>
        <v>0</v>
      </c>
      <c r="Q513" s="0" t="n">
        <f aca="false">Q512+P513</f>
        <v>7</v>
      </c>
    </row>
    <row r="514" customFormat="false" ht="15" hidden="false" customHeight="false" outlineLevel="0" collapsed="false">
      <c r="C514" s="0" t="n">
        <f aca="false">IF(AND(Comments!B512='Policy card'!$C$3,Comments!N512="Open"),1,0)</f>
        <v>0</v>
      </c>
      <c r="D514" s="0" t="str">
        <f aca="false">IF(C514=1,E514,IF(P514=1,$E$2003+Q514,""))</f>
        <v/>
      </c>
      <c r="E514" s="0" t="n">
        <f aca="false">E513+C514</f>
        <v>0</v>
      </c>
      <c r="P514" s="0" t="n">
        <f aca="false">IF(AND(Comments!B512='Policy card'!$C$3,Comments!N512="Closed"),1,0)</f>
        <v>0</v>
      </c>
      <c r="Q514" s="0" t="n">
        <f aca="false">Q513+P514</f>
        <v>7</v>
      </c>
    </row>
    <row r="515" customFormat="false" ht="15" hidden="false" customHeight="false" outlineLevel="0" collapsed="false">
      <c r="C515" s="0" t="n">
        <f aca="false">IF(AND(Comments!B513='Policy card'!$C$3,Comments!N513="Open"),1,0)</f>
        <v>0</v>
      </c>
      <c r="D515" s="0" t="str">
        <f aca="false">IF(C515=1,E515,IF(P515=1,$E$2003+Q515,""))</f>
        <v/>
      </c>
      <c r="E515" s="0" t="n">
        <f aca="false">E514+C515</f>
        <v>0</v>
      </c>
      <c r="P515" s="0" t="n">
        <f aca="false">IF(AND(Comments!B513='Policy card'!$C$3,Comments!N513="Closed"),1,0)</f>
        <v>0</v>
      </c>
      <c r="Q515" s="0" t="n">
        <f aca="false">Q514+P515</f>
        <v>7</v>
      </c>
    </row>
    <row r="516" customFormat="false" ht="15" hidden="false" customHeight="false" outlineLevel="0" collapsed="false">
      <c r="C516" s="0" t="n">
        <f aca="false">IF(AND(Comments!B514='Policy card'!$C$3,Comments!N514="Open"),1,0)</f>
        <v>0</v>
      </c>
      <c r="D516" s="0" t="str">
        <f aca="false">IF(C516=1,E516,IF(P516=1,$E$2003+Q516,""))</f>
        <v/>
      </c>
      <c r="E516" s="0" t="n">
        <f aca="false">E515+C516</f>
        <v>0</v>
      </c>
      <c r="P516" s="0" t="n">
        <f aca="false">IF(AND(Comments!B514='Policy card'!$C$3,Comments!N514="Closed"),1,0)</f>
        <v>0</v>
      </c>
      <c r="Q516" s="0" t="n">
        <f aca="false">Q515+P516</f>
        <v>7</v>
      </c>
    </row>
    <row r="517" customFormat="false" ht="15" hidden="false" customHeight="false" outlineLevel="0" collapsed="false">
      <c r="C517" s="0" t="n">
        <f aca="false">IF(AND(Comments!B515='Policy card'!$C$3,Comments!N515="Open"),1,0)</f>
        <v>0</v>
      </c>
      <c r="D517" s="0" t="str">
        <f aca="false">IF(C517=1,E517,IF(P517=1,$E$2003+Q517,""))</f>
        <v/>
      </c>
      <c r="E517" s="0" t="n">
        <f aca="false">E516+C517</f>
        <v>0</v>
      </c>
      <c r="P517" s="0" t="n">
        <f aca="false">IF(AND(Comments!B515='Policy card'!$C$3,Comments!N515="Closed"),1,0)</f>
        <v>0</v>
      </c>
      <c r="Q517" s="0" t="n">
        <f aca="false">Q516+P517</f>
        <v>7</v>
      </c>
    </row>
    <row r="518" customFormat="false" ht="15" hidden="false" customHeight="false" outlineLevel="0" collapsed="false">
      <c r="C518" s="0" t="n">
        <f aca="false">IF(AND(Comments!B516='Policy card'!$C$3,Comments!N516="Open"),1,0)</f>
        <v>0</v>
      </c>
      <c r="D518" s="0" t="str">
        <f aca="false">IF(C518=1,E518,IF(P518=1,$E$2003+Q518,""))</f>
        <v/>
      </c>
      <c r="E518" s="0" t="n">
        <f aca="false">E517+C518</f>
        <v>0</v>
      </c>
      <c r="P518" s="0" t="n">
        <f aca="false">IF(AND(Comments!B516='Policy card'!$C$3,Comments!N516="Closed"),1,0)</f>
        <v>0</v>
      </c>
      <c r="Q518" s="0" t="n">
        <f aca="false">Q517+P518</f>
        <v>7</v>
      </c>
    </row>
    <row r="519" customFormat="false" ht="15" hidden="false" customHeight="false" outlineLevel="0" collapsed="false">
      <c r="C519" s="0" t="n">
        <f aca="false">IF(AND(Comments!B517='Policy card'!$C$3,Comments!N517="Open"),1,0)</f>
        <v>0</v>
      </c>
      <c r="D519" s="0" t="str">
        <f aca="false">IF(C519=1,E519,IF(P519=1,$E$2003+Q519,""))</f>
        <v/>
      </c>
      <c r="E519" s="0" t="n">
        <f aca="false">E518+C519</f>
        <v>0</v>
      </c>
      <c r="P519" s="0" t="n">
        <f aca="false">IF(AND(Comments!B517='Policy card'!$C$3,Comments!N517="Closed"),1,0)</f>
        <v>0</v>
      </c>
      <c r="Q519" s="0" t="n">
        <f aca="false">Q518+P519</f>
        <v>7</v>
      </c>
    </row>
    <row r="520" customFormat="false" ht="15" hidden="false" customHeight="false" outlineLevel="0" collapsed="false">
      <c r="C520" s="0" t="n">
        <f aca="false">IF(AND(Comments!B518='Policy card'!$C$3,Comments!N518="Open"),1,0)</f>
        <v>0</v>
      </c>
      <c r="D520" s="0" t="str">
        <f aca="false">IF(C520=1,E520,IF(P520=1,$E$2003+Q520,""))</f>
        <v/>
      </c>
      <c r="E520" s="0" t="n">
        <f aca="false">E519+C520</f>
        <v>0</v>
      </c>
      <c r="P520" s="0" t="n">
        <f aca="false">IF(AND(Comments!B518='Policy card'!$C$3,Comments!N518="Closed"),1,0)</f>
        <v>0</v>
      </c>
      <c r="Q520" s="0" t="n">
        <f aca="false">Q519+P520</f>
        <v>7</v>
      </c>
    </row>
    <row r="521" customFormat="false" ht="15" hidden="false" customHeight="false" outlineLevel="0" collapsed="false">
      <c r="C521" s="0" t="n">
        <f aca="false">IF(AND(Comments!B519='Policy card'!$C$3,Comments!N519="Open"),1,0)</f>
        <v>0</v>
      </c>
      <c r="D521" s="0" t="str">
        <f aca="false">IF(C521=1,E521,IF(P521=1,$E$2003+Q521,""))</f>
        <v/>
      </c>
      <c r="E521" s="0" t="n">
        <f aca="false">E520+C521</f>
        <v>0</v>
      </c>
      <c r="P521" s="0" t="n">
        <f aca="false">IF(AND(Comments!B519='Policy card'!$C$3,Comments!N519="Closed"),1,0)</f>
        <v>0</v>
      </c>
      <c r="Q521" s="0" t="n">
        <f aca="false">Q520+P521</f>
        <v>7</v>
      </c>
    </row>
    <row r="522" customFormat="false" ht="15" hidden="false" customHeight="false" outlineLevel="0" collapsed="false">
      <c r="C522" s="0" t="n">
        <f aca="false">IF(AND(Comments!B520='Policy card'!$C$3,Comments!N520="Open"),1,0)</f>
        <v>0</v>
      </c>
      <c r="D522" s="0" t="str">
        <f aca="false">IF(C522=1,E522,IF(P522=1,$E$2003+Q522,""))</f>
        <v/>
      </c>
      <c r="E522" s="0" t="n">
        <f aca="false">E521+C522</f>
        <v>0</v>
      </c>
      <c r="P522" s="0" t="n">
        <f aca="false">IF(AND(Comments!B520='Policy card'!$C$3,Comments!N520="Closed"),1,0)</f>
        <v>0</v>
      </c>
      <c r="Q522" s="0" t="n">
        <f aca="false">Q521+P522</f>
        <v>7</v>
      </c>
    </row>
    <row r="523" customFormat="false" ht="15" hidden="false" customHeight="false" outlineLevel="0" collapsed="false">
      <c r="C523" s="0" t="n">
        <f aca="false">IF(AND(Comments!B521='Policy card'!$C$3,Comments!N521="Open"),1,0)</f>
        <v>0</v>
      </c>
      <c r="D523" s="0" t="str">
        <f aca="false">IF(C523=1,E523,IF(P523=1,$E$2003+Q523,""))</f>
        <v/>
      </c>
      <c r="E523" s="0" t="n">
        <f aca="false">E522+C523</f>
        <v>0</v>
      </c>
      <c r="P523" s="0" t="n">
        <f aca="false">IF(AND(Comments!B521='Policy card'!$C$3,Comments!N521="Closed"),1,0)</f>
        <v>0</v>
      </c>
      <c r="Q523" s="0" t="n">
        <f aca="false">Q522+P523</f>
        <v>7</v>
      </c>
    </row>
    <row r="524" customFormat="false" ht="15" hidden="false" customHeight="false" outlineLevel="0" collapsed="false">
      <c r="C524" s="0" t="n">
        <f aca="false">IF(AND(Comments!B522='Policy card'!$C$3,Comments!N522="Open"),1,0)</f>
        <v>0</v>
      </c>
      <c r="D524" s="0" t="str">
        <f aca="false">IF(C524=1,E524,IF(P524=1,$E$2003+Q524,""))</f>
        <v/>
      </c>
      <c r="E524" s="0" t="n">
        <f aca="false">E523+C524</f>
        <v>0</v>
      </c>
      <c r="P524" s="0" t="n">
        <f aca="false">IF(AND(Comments!B522='Policy card'!$C$3,Comments!N522="Closed"),1,0)</f>
        <v>0</v>
      </c>
      <c r="Q524" s="0" t="n">
        <f aca="false">Q523+P524</f>
        <v>7</v>
      </c>
    </row>
    <row r="525" customFormat="false" ht="15" hidden="false" customHeight="false" outlineLevel="0" collapsed="false">
      <c r="C525" s="0" t="n">
        <f aca="false">IF(AND(Comments!B523='Policy card'!$C$3,Comments!N523="Open"),1,0)</f>
        <v>0</v>
      </c>
      <c r="D525" s="0" t="str">
        <f aca="false">IF(C525=1,E525,IF(P525=1,$E$2003+Q525,""))</f>
        <v/>
      </c>
      <c r="E525" s="0" t="n">
        <f aca="false">E524+C525</f>
        <v>0</v>
      </c>
      <c r="P525" s="0" t="n">
        <f aca="false">IF(AND(Comments!B523='Policy card'!$C$3,Comments!N523="Closed"),1,0)</f>
        <v>0</v>
      </c>
      <c r="Q525" s="0" t="n">
        <f aca="false">Q524+P525</f>
        <v>7</v>
      </c>
    </row>
    <row r="526" customFormat="false" ht="15" hidden="false" customHeight="false" outlineLevel="0" collapsed="false">
      <c r="C526" s="0" t="n">
        <f aca="false">IF(AND(Comments!B524='Policy card'!$C$3,Comments!N524="Open"),1,0)</f>
        <v>0</v>
      </c>
      <c r="D526" s="0" t="str">
        <f aca="false">IF(C526=1,E526,IF(P526=1,$E$2003+Q526,""))</f>
        <v/>
      </c>
      <c r="E526" s="0" t="n">
        <f aca="false">E525+C526</f>
        <v>0</v>
      </c>
      <c r="P526" s="0" t="n">
        <f aca="false">IF(AND(Comments!B524='Policy card'!$C$3,Comments!N524="Closed"),1,0)</f>
        <v>0</v>
      </c>
      <c r="Q526" s="0" t="n">
        <f aca="false">Q525+P526</f>
        <v>7</v>
      </c>
    </row>
    <row r="527" customFormat="false" ht="15" hidden="false" customHeight="false" outlineLevel="0" collapsed="false">
      <c r="C527" s="0" t="n">
        <f aca="false">IF(AND(Comments!B525='Policy card'!$C$3,Comments!N525="Open"),1,0)</f>
        <v>0</v>
      </c>
      <c r="D527" s="0" t="str">
        <f aca="false">IF(C527=1,E527,IF(P527=1,$E$2003+Q527,""))</f>
        <v/>
      </c>
      <c r="E527" s="0" t="n">
        <f aca="false">E526+C527</f>
        <v>0</v>
      </c>
      <c r="P527" s="0" t="n">
        <f aca="false">IF(AND(Comments!B525='Policy card'!$C$3,Comments!N525="Closed"),1,0)</f>
        <v>0</v>
      </c>
      <c r="Q527" s="0" t="n">
        <f aca="false">Q526+P527</f>
        <v>7</v>
      </c>
    </row>
    <row r="528" customFormat="false" ht="15" hidden="false" customHeight="false" outlineLevel="0" collapsed="false">
      <c r="C528" s="0" t="n">
        <f aca="false">IF(AND(Comments!B526='Policy card'!$C$3,Comments!N526="Open"),1,0)</f>
        <v>0</v>
      </c>
      <c r="D528" s="0" t="str">
        <f aca="false">IF(C528=1,E528,IF(P528=1,$E$2003+Q528,""))</f>
        <v/>
      </c>
      <c r="E528" s="0" t="n">
        <f aca="false">E527+C528</f>
        <v>0</v>
      </c>
      <c r="P528" s="0" t="n">
        <f aca="false">IF(AND(Comments!B526='Policy card'!$C$3,Comments!N526="Closed"),1,0)</f>
        <v>0</v>
      </c>
      <c r="Q528" s="0" t="n">
        <f aca="false">Q527+P528</f>
        <v>7</v>
      </c>
    </row>
    <row r="529" customFormat="false" ht="15" hidden="false" customHeight="false" outlineLevel="0" collapsed="false">
      <c r="C529" s="0" t="n">
        <f aca="false">IF(AND(Comments!B527='Policy card'!$C$3,Comments!N527="Open"),1,0)</f>
        <v>0</v>
      </c>
      <c r="D529" s="0" t="str">
        <f aca="false">IF(C529=1,E529,IF(P529=1,$E$2003+Q529,""))</f>
        <v/>
      </c>
      <c r="E529" s="0" t="n">
        <f aca="false">E528+C529</f>
        <v>0</v>
      </c>
      <c r="P529" s="0" t="n">
        <f aca="false">IF(AND(Comments!B527='Policy card'!$C$3,Comments!N527="Closed"),1,0)</f>
        <v>0</v>
      </c>
      <c r="Q529" s="0" t="n">
        <f aca="false">Q528+P529</f>
        <v>7</v>
      </c>
    </row>
    <row r="530" customFormat="false" ht="15" hidden="false" customHeight="false" outlineLevel="0" collapsed="false">
      <c r="C530" s="0" t="n">
        <f aca="false">IF(AND(Comments!B528='Policy card'!$C$3,Comments!N528="Open"),1,0)</f>
        <v>0</v>
      </c>
      <c r="D530" s="0" t="str">
        <f aca="false">IF(C530=1,E530,IF(P530=1,$E$2003+Q530,""))</f>
        <v/>
      </c>
      <c r="E530" s="0" t="n">
        <f aca="false">E529+C530</f>
        <v>0</v>
      </c>
      <c r="P530" s="0" t="n">
        <f aca="false">IF(AND(Comments!B528='Policy card'!$C$3,Comments!N528="Closed"),1,0)</f>
        <v>0</v>
      </c>
      <c r="Q530" s="0" t="n">
        <f aca="false">Q529+P530</f>
        <v>7</v>
      </c>
    </row>
    <row r="531" customFormat="false" ht="15" hidden="false" customHeight="false" outlineLevel="0" collapsed="false">
      <c r="C531" s="0" t="n">
        <f aca="false">IF(AND(Comments!B529='Policy card'!$C$3,Comments!N529="Open"),1,0)</f>
        <v>0</v>
      </c>
      <c r="D531" s="0" t="str">
        <f aca="false">IF(C531=1,E531,IF(P531=1,$E$2003+Q531,""))</f>
        <v/>
      </c>
      <c r="E531" s="0" t="n">
        <f aca="false">E530+C531</f>
        <v>0</v>
      </c>
      <c r="P531" s="0" t="n">
        <f aca="false">IF(AND(Comments!B529='Policy card'!$C$3,Comments!N529="Closed"),1,0)</f>
        <v>0</v>
      </c>
      <c r="Q531" s="0" t="n">
        <f aca="false">Q530+P531</f>
        <v>7</v>
      </c>
    </row>
    <row r="532" customFormat="false" ht="15" hidden="false" customHeight="false" outlineLevel="0" collapsed="false">
      <c r="C532" s="0" t="n">
        <f aca="false">IF(AND(Comments!B530='Policy card'!$C$3,Comments!N530="Open"),1,0)</f>
        <v>0</v>
      </c>
      <c r="D532" s="0" t="str">
        <f aca="false">IF(C532=1,E532,IF(P532=1,$E$2003+Q532,""))</f>
        <v/>
      </c>
      <c r="E532" s="0" t="n">
        <f aca="false">E531+C532</f>
        <v>0</v>
      </c>
      <c r="P532" s="0" t="n">
        <f aca="false">IF(AND(Comments!B530='Policy card'!$C$3,Comments!N530="Closed"),1,0)</f>
        <v>0</v>
      </c>
      <c r="Q532" s="0" t="n">
        <f aca="false">Q531+P532</f>
        <v>7</v>
      </c>
    </row>
    <row r="533" customFormat="false" ht="15" hidden="false" customHeight="false" outlineLevel="0" collapsed="false">
      <c r="C533" s="0" t="n">
        <f aca="false">IF(AND(Comments!B531='Policy card'!$C$3,Comments!N531="Open"),1,0)</f>
        <v>0</v>
      </c>
      <c r="D533" s="0" t="str">
        <f aca="false">IF(C533=1,E533,IF(P533=1,$E$2003+Q533,""))</f>
        <v/>
      </c>
      <c r="E533" s="0" t="n">
        <f aca="false">E532+C533</f>
        <v>0</v>
      </c>
      <c r="P533" s="0" t="n">
        <f aca="false">IF(AND(Comments!B531='Policy card'!$C$3,Comments!N531="Closed"),1,0)</f>
        <v>0</v>
      </c>
      <c r="Q533" s="0" t="n">
        <f aca="false">Q532+P533</f>
        <v>7</v>
      </c>
    </row>
    <row r="534" customFormat="false" ht="15" hidden="false" customHeight="false" outlineLevel="0" collapsed="false">
      <c r="C534" s="0" t="n">
        <f aca="false">IF(AND(Comments!B532='Policy card'!$C$3,Comments!N532="Open"),1,0)</f>
        <v>0</v>
      </c>
      <c r="D534" s="0" t="str">
        <f aca="false">IF(C534=1,E534,IF(P534=1,$E$2003+Q534,""))</f>
        <v/>
      </c>
      <c r="E534" s="0" t="n">
        <f aca="false">E533+C534</f>
        <v>0</v>
      </c>
      <c r="P534" s="0" t="n">
        <f aca="false">IF(AND(Comments!B532='Policy card'!$C$3,Comments!N532="Closed"),1,0)</f>
        <v>0</v>
      </c>
      <c r="Q534" s="0" t="n">
        <f aca="false">Q533+P534</f>
        <v>7</v>
      </c>
    </row>
    <row r="535" customFormat="false" ht="15" hidden="false" customHeight="false" outlineLevel="0" collapsed="false">
      <c r="C535" s="0" t="n">
        <f aca="false">IF(AND(Comments!B533='Policy card'!$C$3,Comments!N533="Open"),1,0)</f>
        <v>0</v>
      </c>
      <c r="D535" s="0" t="str">
        <f aca="false">IF(C535=1,E535,IF(P535=1,$E$2003+Q535,""))</f>
        <v/>
      </c>
      <c r="E535" s="0" t="n">
        <f aca="false">E534+C535</f>
        <v>0</v>
      </c>
      <c r="P535" s="0" t="n">
        <f aca="false">IF(AND(Comments!B533='Policy card'!$C$3,Comments!N533="Closed"),1,0)</f>
        <v>0</v>
      </c>
      <c r="Q535" s="0" t="n">
        <f aca="false">Q534+P535</f>
        <v>7</v>
      </c>
    </row>
    <row r="536" customFormat="false" ht="15" hidden="false" customHeight="false" outlineLevel="0" collapsed="false">
      <c r="C536" s="0" t="n">
        <f aca="false">IF(AND(Comments!B534='Policy card'!$C$3,Comments!N534="Open"),1,0)</f>
        <v>0</v>
      </c>
      <c r="D536" s="0" t="str">
        <f aca="false">IF(C536=1,E536,IF(P536=1,$E$2003+Q536,""))</f>
        <v/>
      </c>
      <c r="E536" s="0" t="n">
        <f aca="false">E535+C536</f>
        <v>0</v>
      </c>
      <c r="P536" s="0" t="n">
        <f aca="false">IF(AND(Comments!B534='Policy card'!$C$3,Comments!N534="Closed"),1,0)</f>
        <v>0</v>
      </c>
      <c r="Q536" s="0" t="n">
        <f aca="false">Q535+P536</f>
        <v>7</v>
      </c>
    </row>
    <row r="537" customFormat="false" ht="15" hidden="false" customHeight="false" outlineLevel="0" collapsed="false">
      <c r="C537" s="0" t="n">
        <f aca="false">IF(AND(Comments!B535='Policy card'!$C$3,Comments!N535="Open"),1,0)</f>
        <v>0</v>
      </c>
      <c r="D537" s="0" t="str">
        <f aca="false">IF(C537=1,E537,IF(P537=1,$E$2003+Q537,""))</f>
        <v/>
      </c>
      <c r="E537" s="0" t="n">
        <f aca="false">E536+C537</f>
        <v>0</v>
      </c>
      <c r="P537" s="0" t="n">
        <f aca="false">IF(AND(Comments!B535='Policy card'!$C$3,Comments!N535="Closed"),1,0)</f>
        <v>0</v>
      </c>
      <c r="Q537" s="0" t="n">
        <f aca="false">Q536+P537</f>
        <v>7</v>
      </c>
    </row>
    <row r="538" customFormat="false" ht="15" hidden="false" customHeight="false" outlineLevel="0" collapsed="false">
      <c r="C538" s="0" t="n">
        <f aca="false">IF(AND(Comments!B536='Policy card'!$C$3,Comments!N536="Open"),1,0)</f>
        <v>0</v>
      </c>
      <c r="D538" s="0" t="str">
        <f aca="false">IF(C538=1,E538,IF(P538=1,$E$2003+Q538,""))</f>
        <v/>
      </c>
      <c r="E538" s="0" t="n">
        <f aca="false">E537+C538</f>
        <v>0</v>
      </c>
      <c r="P538" s="0" t="n">
        <f aca="false">IF(AND(Comments!B536='Policy card'!$C$3,Comments!N536="Closed"),1,0)</f>
        <v>0</v>
      </c>
      <c r="Q538" s="0" t="n">
        <f aca="false">Q537+P538</f>
        <v>7</v>
      </c>
    </row>
    <row r="539" customFormat="false" ht="15" hidden="false" customHeight="false" outlineLevel="0" collapsed="false">
      <c r="C539" s="0" t="n">
        <f aca="false">IF(AND(Comments!B537='Policy card'!$C$3,Comments!N537="Open"),1,0)</f>
        <v>0</v>
      </c>
      <c r="D539" s="0" t="str">
        <f aca="false">IF(C539=1,E539,IF(P539=1,$E$2003+Q539,""))</f>
        <v/>
      </c>
      <c r="E539" s="0" t="n">
        <f aca="false">E538+C539</f>
        <v>0</v>
      </c>
      <c r="P539" s="0" t="n">
        <f aca="false">IF(AND(Comments!B537='Policy card'!$C$3,Comments!N537="Closed"),1,0)</f>
        <v>0</v>
      </c>
      <c r="Q539" s="0" t="n">
        <f aca="false">Q538+P539</f>
        <v>7</v>
      </c>
    </row>
    <row r="540" customFormat="false" ht="15" hidden="false" customHeight="false" outlineLevel="0" collapsed="false">
      <c r="C540" s="0" t="n">
        <f aca="false">IF(AND(Comments!B538='Policy card'!$C$3,Comments!N538="Open"),1,0)</f>
        <v>0</v>
      </c>
      <c r="D540" s="0" t="str">
        <f aca="false">IF(C540=1,E540,IF(P540=1,$E$2003+Q540,""))</f>
        <v/>
      </c>
      <c r="E540" s="0" t="n">
        <f aca="false">E539+C540</f>
        <v>0</v>
      </c>
      <c r="P540" s="0" t="n">
        <f aca="false">IF(AND(Comments!B538='Policy card'!$C$3,Comments!N538="Closed"),1,0)</f>
        <v>0</v>
      </c>
      <c r="Q540" s="0" t="n">
        <f aca="false">Q539+P540</f>
        <v>7</v>
      </c>
    </row>
    <row r="541" customFormat="false" ht="15" hidden="false" customHeight="false" outlineLevel="0" collapsed="false">
      <c r="C541" s="0" t="n">
        <f aca="false">IF(AND(Comments!B539='Policy card'!$C$3,Comments!N539="Open"),1,0)</f>
        <v>0</v>
      </c>
      <c r="D541" s="0" t="str">
        <f aca="false">IF(C541=1,E541,IF(P541=1,$E$2003+Q541,""))</f>
        <v/>
      </c>
      <c r="E541" s="0" t="n">
        <f aca="false">E540+C541</f>
        <v>0</v>
      </c>
      <c r="P541" s="0" t="n">
        <f aca="false">IF(AND(Comments!B539='Policy card'!$C$3,Comments!N539="Closed"),1,0)</f>
        <v>0</v>
      </c>
      <c r="Q541" s="0" t="n">
        <f aca="false">Q540+P541</f>
        <v>7</v>
      </c>
    </row>
    <row r="542" customFormat="false" ht="15" hidden="false" customHeight="false" outlineLevel="0" collapsed="false">
      <c r="C542" s="0" t="n">
        <f aca="false">IF(AND(Comments!B540='Policy card'!$C$3,Comments!N540="Open"),1,0)</f>
        <v>0</v>
      </c>
      <c r="D542" s="0" t="str">
        <f aca="false">IF(C542=1,E542,IF(P542=1,$E$2003+Q542,""))</f>
        <v/>
      </c>
      <c r="E542" s="0" t="n">
        <f aca="false">E541+C542</f>
        <v>0</v>
      </c>
      <c r="P542" s="0" t="n">
        <f aca="false">IF(AND(Comments!B540='Policy card'!$C$3,Comments!N540="Closed"),1,0)</f>
        <v>0</v>
      </c>
      <c r="Q542" s="0" t="n">
        <f aca="false">Q541+P542</f>
        <v>7</v>
      </c>
    </row>
    <row r="543" customFormat="false" ht="15" hidden="false" customHeight="false" outlineLevel="0" collapsed="false">
      <c r="C543" s="0" t="n">
        <f aca="false">IF(AND(Comments!B541='Policy card'!$C$3,Comments!N541="Open"),1,0)</f>
        <v>0</v>
      </c>
      <c r="D543" s="0" t="str">
        <f aca="false">IF(C543=1,E543,IF(P543=1,$E$2003+Q543,""))</f>
        <v/>
      </c>
      <c r="E543" s="0" t="n">
        <f aca="false">E542+C543</f>
        <v>0</v>
      </c>
      <c r="P543" s="0" t="n">
        <f aca="false">IF(AND(Comments!B541='Policy card'!$C$3,Comments!N541="Closed"),1,0)</f>
        <v>0</v>
      </c>
      <c r="Q543" s="0" t="n">
        <f aca="false">Q542+P543</f>
        <v>7</v>
      </c>
    </row>
    <row r="544" customFormat="false" ht="15" hidden="false" customHeight="false" outlineLevel="0" collapsed="false">
      <c r="C544" s="0" t="n">
        <f aca="false">IF(AND(Comments!B542='Policy card'!$C$3,Comments!N542="Open"),1,0)</f>
        <v>0</v>
      </c>
      <c r="D544" s="0" t="str">
        <f aca="false">IF(C544=1,E544,IF(P544=1,$E$2003+Q544,""))</f>
        <v/>
      </c>
      <c r="E544" s="0" t="n">
        <f aca="false">E543+C544</f>
        <v>0</v>
      </c>
      <c r="P544" s="0" t="n">
        <f aca="false">IF(AND(Comments!B542='Policy card'!$C$3,Comments!N542="Closed"),1,0)</f>
        <v>0</v>
      </c>
      <c r="Q544" s="0" t="n">
        <f aca="false">Q543+P544</f>
        <v>7</v>
      </c>
    </row>
    <row r="545" customFormat="false" ht="15" hidden="false" customHeight="false" outlineLevel="0" collapsed="false">
      <c r="C545" s="0" t="n">
        <f aca="false">IF(AND(Comments!B543='Policy card'!$C$3,Comments!N543="Open"),1,0)</f>
        <v>0</v>
      </c>
      <c r="D545" s="0" t="str">
        <f aca="false">IF(C545=1,E545,IF(P545=1,$E$2003+Q545,""))</f>
        <v/>
      </c>
      <c r="E545" s="0" t="n">
        <f aca="false">E544+C545</f>
        <v>0</v>
      </c>
      <c r="P545" s="0" t="n">
        <f aca="false">IF(AND(Comments!B543='Policy card'!$C$3,Comments!N543="Closed"),1,0)</f>
        <v>0</v>
      </c>
      <c r="Q545" s="0" t="n">
        <f aca="false">Q544+P545</f>
        <v>7</v>
      </c>
    </row>
    <row r="546" customFormat="false" ht="15" hidden="false" customHeight="false" outlineLevel="0" collapsed="false">
      <c r="C546" s="0" t="n">
        <f aca="false">IF(AND(Comments!B544='Policy card'!$C$3,Comments!N544="Open"),1,0)</f>
        <v>0</v>
      </c>
      <c r="D546" s="0" t="str">
        <f aca="false">IF(C546=1,E546,IF(P546=1,$E$2003+Q546,""))</f>
        <v/>
      </c>
      <c r="E546" s="0" t="n">
        <f aca="false">E545+C546</f>
        <v>0</v>
      </c>
      <c r="P546" s="0" t="n">
        <f aca="false">IF(AND(Comments!B544='Policy card'!$C$3,Comments!N544="Closed"),1,0)</f>
        <v>0</v>
      </c>
      <c r="Q546" s="0" t="n">
        <f aca="false">Q545+P546</f>
        <v>7</v>
      </c>
    </row>
    <row r="547" customFormat="false" ht="15" hidden="false" customHeight="false" outlineLevel="0" collapsed="false">
      <c r="C547" s="0" t="n">
        <f aca="false">IF(AND(Comments!B545='Policy card'!$C$3,Comments!N545="Open"),1,0)</f>
        <v>0</v>
      </c>
      <c r="D547" s="0" t="str">
        <f aca="false">IF(C547=1,E547,IF(P547=1,$E$2003+Q547,""))</f>
        <v/>
      </c>
      <c r="E547" s="0" t="n">
        <f aca="false">E546+C547</f>
        <v>0</v>
      </c>
      <c r="P547" s="0" t="n">
        <f aca="false">IF(AND(Comments!B545='Policy card'!$C$3,Comments!N545="Closed"),1,0)</f>
        <v>0</v>
      </c>
      <c r="Q547" s="0" t="n">
        <f aca="false">Q546+P547</f>
        <v>7</v>
      </c>
    </row>
    <row r="548" customFormat="false" ht="15" hidden="false" customHeight="false" outlineLevel="0" collapsed="false">
      <c r="C548" s="0" t="n">
        <f aca="false">IF(AND(Comments!B546='Policy card'!$C$3,Comments!N546="Open"),1,0)</f>
        <v>0</v>
      </c>
      <c r="D548" s="0" t="str">
        <f aca="false">IF(C548=1,E548,IF(P548=1,$E$2003+Q548,""))</f>
        <v/>
      </c>
      <c r="E548" s="0" t="n">
        <f aca="false">E547+C548</f>
        <v>0</v>
      </c>
      <c r="P548" s="0" t="n">
        <f aca="false">IF(AND(Comments!B546='Policy card'!$C$3,Comments!N546="Closed"),1,0)</f>
        <v>0</v>
      </c>
      <c r="Q548" s="0" t="n">
        <f aca="false">Q547+P548</f>
        <v>7</v>
      </c>
    </row>
    <row r="549" customFormat="false" ht="15" hidden="false" customHeight="false" outlineLevel="0" collapsed="false">
      <c r="C549" s="0" t="n">
        <f aca="false">IF(AND(Comments!B547='Policy card'!$C$3,Comments!N547="Open"),1,0)</f>
        <v>0</v>
      </c>
      <c r="D549" s="0" t="str">
        <f aca="false">IF(C549=1,E549,IF(P549=1,$E$2003+Q549,""))</f>
        <v/>
      </c>
      <c r="E549" s="0" t="n">
        <f aca="false">E548+C549</f>
        <v>0</v>
      </c>
      <c r="P549" s="0" t="n">
        <f aca="false">IF(AND(Comments!B547='Policy card'!$C$3,Comments!N547="Closed"),1,0)</f>
        <v>0</v>
      </c>
      <c r="Q549" s="0" t="n">
        <f aca="false">Q548+P549</f>
        <v>7</v>
      </c>
    </row>
    <row r="550" customFormat="false" ht="15" hidden="false" customHeight="false" outlineLevel="0" collapsed="false">
      <c r="C550" s="0" t="n">
        <f aca="false">IF(AND(Comments!B548='Policy card'!$C$3,Comments!N548="Open"),1,0)</f>
        <v>0</v>
      </c>
      <c r="D550" s="0" t="str">
        <f aca="false">IF(C550=1,E550,IF(P550=1,$E$2003+Q550,""))</f>
        <v/>
      </c>
      <c r="E550" s="0" t="n">
        <f aca="false">E549+C550</f>
        <v>0</v>
      </c>
      <c r="P550" s="0" t="n">
        <f aca="false">IF(AND(Comments!B548='Policy card'!$C$3,Comments!N548="Closed"),1,0)</f>
        <v>0</v>
      </c>
      <c r="Q550" s="0" t="n">
        <f aca="false">Q549+P550</f>
        <v>7</v>
      </c>
    </row>
    <row r="551" customFormat="false" ht="15" hidden="false" customHeight="false" outlineLevel="0" collapsed="false">
      <c r="C551" s="0" t="n">
        <f aca="false">IF(AND(Comments!B549='Policy card'!$C$3,Comments!N549="Open"),1,0)</f>
        <v>0</v>
      </c>
      <c r="D551" s="0" t="str">
        <f aca="false">IF(C551=1,E551,IF(P551=1,$E$2003+Q551,""))</f>
        <v/>
      </c>
      <c r="E551" s="0" t="n">
        <f aca="false">E550+C551</f>
        <v>0</v>
      </c>
      <c r="P551" s="0" t="n">
        <f aca="false">IF(AND(Comments!B549='Policy card'!$C$3,Comments!N549="Closed"),1,0)</f>
        <v>0</v>
      </c>
      <c r="Q551" s="0" t="n">
        <f aca="false">Q550+P551</f>
        <v>7</v>
      </c>
    </row>
    <row r="552" customFormat="false" ht="15" hidden="false" customHeight="false" outlineLevel="0" collapsed="false">
      <c r="C552" s="0" t="n">
        <f aca="false">IF(AND(Comments!B550='Policy card'!$C$3,Comments!N550="Open"),1,0)</f>
        <v>0</v>
      </c>
      <c r="D552" s="0" t="str">
        <f aca="false">IF(C552=1,E552,IF(P552=1,$E$2003+Q552,""))</f>
        <v/>
      </c>
      <c r="E552" s="0" t="n">
        <f aca="false">E551+C552</f>
        <v>0</v>
      </c>
      <c r="P552" s="0" t="n">
        <f aca="false">IF(AND(Comments!B550='Policy card'!$C$3,Comments!N550="Closed"),1,0)</f>
        <v>0</v>
      </c>
      <c r="Q552" s="0" t="n">
        <f aca="false">Q551+P552</f>
        <v>7</v>
      </c>
    </row>
    <row r="553" customFormat="false" ht="15" hidden="false" customHeight="false" outlineLevel="0" collapsed="false">
      <c r="C553" s="0" t="n">
        <f aca="false">IF(AND(Comments!B551='Policy card'!$C$3,Comments!N551="Open"),1,0)</f>
        <v>0</v>
      </c>
      <c r="D553" s="0" t="str">
        <f aca="false">IF(C553=1,E553,IF(P553=1,$E$2003+Q553,""))</f>
        <v/>
      </c>
      <c r="E553" s="0" t="n">
        <f aca="false">E552+C553</f>
        <v>0</v>
      </c>
      <c r="P553" s="0" t="n">
        <f aca="false">IF(AND(Comments!B551='Policy card'!$C$3,Comments!N551="Closed"),1,0)</f>
        <v>0</v>
      </c>
      <c r="Q553" s="0" t="n">
        <f aca="false">Q552+P553</f>
        <v>7</v>
      </c>
    </row>
    <row r="554" customFormat="false" ht="15" hidden="false" customHeight="false" outlineLevel="0" collapsed="false">
      <c r="C554" s="0" t="n">
        <f aca="false">IF(AND(Comments!B552='Policy card'!$C$3,Comments!N552="Open"),1,0)</f>
        <v>0</v>
      </c>
      <c r="D554" s="0" t="str">
        <f aca="false">IF(C554=1,E554,IF(P554=1,$E$2003+Q554,""))</f>
        <v/>
      </c>
      <c r="E554" s="0" t="n">
        <f aca="false">E553+C554</f>
        <v>0</v>
      </c>
      <c r="P554" s="0" t="n">
        <f aca="false">IF(AND(Comments!B552='Policy card'!$C$3,Comments!N552="Closed"),1,0)</f>
        <v>0</v>
      </c>
      <c r="Q554" s="0" t="n">
        <f aca="false">Q553+P554</f>
        <v>7</v>
      </c>
    </row>
    <row r="555" customFormat="false" ht="15" hidden="false" customHeight="false" outlineLevel="0" collapsed="false">
      <c r="C555" s="0" t="n">
        <f aca="false">IF(AND(Comments!B553='Policy card'!$C$3,Comments!N553="Open"),1,0)</f>
        <v>0</v>
      </c>
      <c r="D555" s="0" t="str">
        <f aca="false">IF(C555=1,E555,IF(P555=1,$E$2003+Q555,""))</f>
        <v/>
      </c>
      <c r="E555" s="0" t="n">
        <f aca="false">E554+C555</f>
        <v>0</v>
      </c>
      <c r="P555" s="0" t="n">
        <f aca="false">IF(AND(Comments!B553='Policy card'!$C$3,Comments!N553="Closed"),1,0)</f>
        <v>0</v>
      </c>
      <c r="Q555" s="0" t="n">
        <f aca="false">Q554+P555</f>
        <v>7</v>
      </c>
    </row>
    <row r="556" customFormat="false" ht="15" hidden="false" customHeight="false" outlineLevel="0" collapsed="false">
      <c r="C556" s="0" t="n">
        <f aca="false">IF(AND(Comments!B554='Policy card'!$C$3,Comments!N554="Open"),1,0)</f>
        <v>0</v>
      </c>
      <c r="D556" s="0" t="str">
        <f aca="false">IF(C556=1,E556,IF(P556=1,$E$2003+Q556,""))</f>
        <v/>
      </c>
      <c r="E556" s="0" t="n">
        <f aca="false">E555+C556</f>
        <v>0</v>
      </c>
      <c r="P556" s="0" t="n">
        <f aca="false">IF(AND(Comments!B554='Policy card'!$C$3,Comments!N554="Closed"),1,0)</f>
        <v>0</v>
      </c>
      <c r="Q556" s="0" t="n">
        <f aca="false">Q555+P556</f>
        <v>7</v>
      </c>
    </row>
    <row r="557" customFormat="false" ht="15" hidden="false" customHeight="false" outlineLevel="0" collapsed="false">
      <c r="C557" s="0" t="n">
        <f aca="false">IF(AND(Comments!B555='Policy card'!$C$3,Comments!N555="Open"),1,0)</f>
        <v>0</v>
      </c>
      <c r="D557" s="0" t="str">
        <f aca="false">IF(C557=1,E557,IF(P557=1,$E$2003+Q557,""))</f>
        <v/>
      </c>
      <c r="E557" s="0" t="n">
        <f aca="false">E556+C557</f>
        <v>0</v>
      </c>
      <c r="P557" s="0" t="n">
        <f aca="false">IF(AND(Comments!B555='Policy card'!$C$3,Comments!N555="Closed"),1,0)</f>
        <v>0</v>
      </c>
      <c r="Q557" s="0" t="n">
        <f aca="false">Q556+P557</f>
        <v>7</v>
      </c>
    </row>
    <row r="558" customFormat="false" ht="15" hidden="false" customHeight="false" outlineLevel="0" collapsed="false">
      <c r="C558" s="0" t="n">
        <f aca="false">IF(AND(Comments!B556='Policy card'!$C$3,Comments!N556="Open"),1,0)</f>
        <v>0</v>
      </c>
      <c r="D558" s="0" t="str">
        <f aca="false">IF(C558=1,E558,IF(P558=1,$E$2003+Q558,""))</f>
        <v/>
      </c>
      <c r="E558" s="0" t="n">
        <f aca="false">E557+C558</f>
        <v>0</v>
      </c>
      <c r="P558" s="0" t="n">
        <f aca="false">IF(AND(Comments!B556='Policy card'!$C$3,Comments!N556="Closed"),1,0)</f>
        <v>0</v>
      </c>
      <c r="Q558" s="0" t="n">
        <f aca="false">Q557+P558</f>
        <v>7</v>
      </c>
    </row>
    <row r="559" customFormat="false" ht="15" hidden="false" customHeight="false" outlineLevel="0" collapsed="false">
      <c r="C559" s="0" t="n">
        <f aca="false">IF(AND(Comments!B557='Policy card'!$C$3,Comments!N557="Open"),1,0)</f>
        <v>0</v>
      </c>
      <c r="D559" s="0" t="str">
        <f aca="false">IF(C559=1,E559,IF(P559=1,$E$2003+Q559,""))</f>
        <v/>
      </c>
      <c r="E559" s="0" t="n">
        <f aca="false">E558+C559</f>
        <v>0</v>
      </c>
      <c r="P559" s="0" t="n">
        <f aca="false">IF(AND(Comments!B557='Policy card'!$C$3,Comments!N557="Closed"),1,0)</f>
        <v>0</v>
      </c>
      <c r="Q559" s="0" t="n">
        <f aca="false">Q558+P559</f>
        <v>7</v>
      </c>
    </row>
    <row r="560" customFormat="false" ht="15" hidden="false" customHeight="false" outlineLevel="0" collapsed="false">
      <c r="C560" s="0" t="n">
        <f aca="false">IF(AND(Comments!B558='Policy card'!$C$3,Comments!N558="Open"),1,0)</f>
        <v>0</v>
      </c>
      <c r="D560" s="0" t="str">
        <f aca="false">IF(C560=1,E560,IF(P560=1,$E$2003+Q560,""))</f>
        <v/>
      </c>
      <c r="E560" s="0" t="n">
        <f aca="false">E559+C560</f>
        <v>0</v>
      </c>
      <c r="P560" s="0" t="n">
        <f aca="false">IF(AND(Comments!B558='Policy card'!$C$3,Comments!N558="Closed"),1,0)</f>
        <v>0</v>
      </c>
      <c r="Q560" s="0" t="n">
        <f aca="false">Q559+P560</f>
        <v>7</v>
      </c>
    </row>
    <row r="561" customFormat="false" ht="15" hidden="false" customHeight="false" outlineLevel="0" collapsed="false">
      <c r="C561" s="0" t="n">
        <f aca="false">IF(AND(Comments!B559='Policy card'!$C$3,Comments!N559="Open"),1,0)</f>
        <v>0</v>
      </c>
      <c r="D561" s="0" t="str">
        <f aca="false">IF(C561=1,E561,IF(P561=1,$E$2003+Q561,""))</f>
        <v/>
      </c>
      <c r="E561" s="0" t="n">
        <f aca="false">E560+C561</f>
        <v>0</v>
      </c>
      <c r="P561" s="0" t="n">
        <f aca="false">IF(AND(Comments!B559='Policy card'!$C$3,Comments!N559="Closed"),1,0)</f>
        <v>0</v>
      </c>
      <c r="Q561" s="0" t="n">
        <f aca="false">Q560+P561</f>
        <v>7</v>
      </c>
    </row>
    <row r="562" customFormat="false" ht="15" hidden="false" customHeight="false" outlineLevel="0" collapsed="false">
      <c r="C562" s="0" t="n">
        <f aca="false">IF(AND(Comments!B560='Policy card'!$C$3,Comments!N560="Open"),1,0)</f>
        <v>0</v>
      </c>
      <c r="D562" s="0" t="str">
        <f aca="false">IF(C562=1,E562,IF(P562=1,$E$2003+Q562,""))</f>
        <v/>
      </c>
      <c r="E562" s="0" t="n">
        <f aca="false">E561+C562</f>
        <v>0</v>
      </c>
      <c r="P562" s="0" t="n">
        <f aca="false">IF(AND(Comments!B560='Policy card'!$C$3,Comments!N560="Closed"),1,0)</f>
        <v>0</v>
      </c>
      <c r="Q562" s="0" t="n">
        <f aca="false">Q561+P562</f>
        <v>7</v>
      </c>
    </row>
    <row r="563" customFormat="false" ht="15" hidden="false" customHeight="false" outlineLevel="0" collapsed="false">
      <c r="C563" s="0" t="n">
        <f aca="false">IF(AND(Comments!B561='Policy card'!$C$3,Comments!N561="Open"),1,0)</f>
        <v>0</v>
      </c>
      <c r="D563" s="0" t="str">
        <f aca="false">IF(C563=1,E563,IF(P563=1,$E$2003+Q563,""))</f>
        <v/>
      </c>
      <c r="E563" s="0" t="n">
        <f aca="false">E562+C563</f>
        <v>0</v>
      </c>
      <c r="P563" s="0" t="n">
        <f aca="false">IF(AND(Comments!B561='Policy card'!$C$3,Comments!N561="Closed"),1,0)</f>
        <v>0</v>
      </c>
      <c r="Q563" s="0" t="n">
        <f aca="false">Q562+P563</f>
        <v>7</v>
      </c>
    </row>
    <row r="564" customFormat="false" ht="15" hidden="false" customHeight="false" outlineLevel="0" collapsed="false">
      <c r="C564" s="0" t="n">
        <f aca="false">IF(AND(Comments!B562='Policy card'!$C$3,Comments!N562="Open"),1,0)</f>
        <v>0</v>
      </c>
      <c r="D564" s="0" t="str">
        <f aca="false">IF(C564=1,E564,IF(P564=1,$E$2003+Q564,""))</f>
        <v/>
      </c>
      <c r="E564" s="0" t="n">
        <f aca="false">E563+C564</f>
        <v>0</v>
      </c>
      <c r="P564" s="0" t="n">
        <f aca="false">IF(AND(Comments!B562='Policy card'!$C$3,Comments!N562="Closed"),1,0)</f>
        <v>0</v>
      </c>
      <c r="Q564" s="0" t="n">
        <f aca="false">Q563+P564</f>
        <v>7</v>
      </c>
    </row>
    <row r="565" customFormat="false" ht="15" hidden="false" customHeight="false" outlineLevel="0" collapsed="false">
      <c r="C565" s="0" t="n">
        <f aca="false">IF(AND(Comments!B563='Policy card'!$C$3,Comments!N563="Open"),1,0)</f>
        <v>0</v>
      </c>
      <c r="D565" s="0" t="str">
        <f aca="false">IF(C565=1,E565,IF(P565=1,$E$2003+Q565,""))</f>
        <v/>
      </c>
      <c r="E565" s="0" t="n">
        <f aca="false">E564+C565</f>
        <v>0</v>
      </c>
      <c r="P565" s="0" t="n">
        <f aca="false">IF(AND(Comments!B563='Policy card'!$C$3,Comments!N563="Closed"),1,0)</f>
        <v>0</v>
      </c>
      <c r="Q565" s="0" t="n">
        <f aca="false">Q564+P565</f>
        <v>7</v>
      </c>
    </row>
    <row r="566" customFormat="false" ht="15" hidden="false" customHeight="false" outlineLevel="0" collapsed="false">
      <c r="C566" s="0" t="n">
        <f aca="false">IF(AND(Comments!B564='Policy card'!$C$3,Comments!N564="Open"),1,0)</f>
        <v>0</v>
      </c>
      <c r="D566" s="0" t="str">
        <f aca="false">IF(C566=1,E566,IF(P566=1,$E$2003+Q566,""))</f>
        <v/>
      </c>
      <c r="E566" s="0" t="n">
        <f aca="false">E565+C566</f>
        <v>0</v>
      </c>
      <c r="P566" s="0" t="n">
        <f aca="false">IF(AND(Comments!B564='Policy card'!$C$3,Comments!N564="Closed"),1,0)</f>
        <v>0</v>
      </c>
      <c r="Q566" s="0" t="n">
        <f aca="false">Q565+P566</f>
        <v>7</v>
      </c>
    </row>
    <row r="567" customFormat="false" ht="15" hidden="false" customHeight="false" outlineLevel="0" collapsed="false">
      <c r="C567" s="0" t="n">
        <f aca="false">IF(AND(Comments!B565='Policy card'!$C$3,Comments!N565="Open"),1,0)</f>
        <v>0</v>
      </c>
      <c r="D567" s="0" t="str">
        <f aca="false">IF(C567=1,E567,IF(P567=1,$E$2003+Q567,""))</f>
        <v/>
      </c>
      <c r="E567" s="0" t="n">
        <f aca="false">E566+C567</f>
        <v>0</v>
      </c>
      <c r="P567" s="0" t="n">
        <f aca="false">IF(AND(Comments!B565='Policy card'!$C$3,Comments!N565="Closed"),1,0)</f>
        <v>0</v>
      </c>
      <c r="Q567" s="0" t="n">
        <f aca="false">Q566+P567</f>
        <v>7</v>
      </c>
    </row>
    <row r="568" customFormat="false" ht="15" hidden="false" customHeight="false" outlineLevel="0" collapsed="false">
      <c r="C568" s="0" t="n">
        <f aca="false">IF(AND(Comments!B566='Policy card'!$C$3,Comments!N566="Open"),1,0)</f>
        <v>0</v>
      </c>
      <c r="D568" s="0" t="str">
        <f aca="false">IF(C568=1,E568,IF(P568=1,$E$2003+Q568,""))</f>
        <v/>
      </c>
      <c r="E568" s="0" t="n">
        <f aca="false">E567+C568</f>
        <v>0</v>
      </c>
      <c r="P568" s="0" t="n">
        <f aca="false">IF(AND(Comments!B566='Policy card'!$C$3,Comments!N566="Closed"),1,0)</f>
        <v>0</v>
      </c>
      <c r="Q568" s="0" t="n">
        <f aca="false">Q567+P568</f>
        <v>7</v>
      </c>
    </row>
    <row r="569" customFormat="false" ht="15" hidden="false" customHeight="false" outlineLevel="0" collapsed="false">
      <c r="C569" s="0" t="n">
        <f aca="false">IF(AND(Comments!B567='Policy card'!$C$3,Comments!N567="Open"),1,0)</f>
        <v>0</v>
      </c>
      <c r="D569" s="0" t="str">
        <f aca="false">IF(C569=1,E569,IF(P569=1,$E$2003+Q569,""))</f>
        <v/>
      </c>
      <c r="E569" s="0" t="n">
        <f aca="false">E568+C569</f>
        <v>0</v>
      </c>
      <c r="P569" s="0" t="n">
        <f aca="false">IF(AND(Comments!B567='Policy card'!$C$3,Comments!N567="Closed"),1,0)</f>
        <v>0</v>
      </c>
      <c r="Q569" s="0" t="n">
        <f aca="false">Q568+P569</f>
        <v>7</v>
      </c>
    </row>
    <row r="570" customFormat="false" ht="15" hidden="false" customHeight="false" outlineLevel="0" collapsed="false">
      <c r="C570" s="0" t="n">
        <f aca="false">IF(AND(Comments!B568='Policy card'!$C$3,Comments!N568="Open"),1,0)</f>
        <v>0</v>
      </c>
      <c r="D570" s="0" t="str">
        <f aca="false">IF(C570=1,E570,IF(P570=1,$E$2003+Q570,""))</f>
        <v/>
      </c>
      <c r="E570" s="0" t="n">
        <f aca="false">E569+C570</f>
        <v>0</v>
      </c>
      <c r="P570" s="0" t="n">
        <f aca="false">IF(AND(Comments!B568='Policy card'!$C$3,Comments!N568="Closed"),1,0)</f>
        <v>0</v>
      </c>
      <c r="Q570" s="0" t="n">
        <f aca="false">Q569+P570</f>
        <v>7</v>
      </c>
    </row>
    <row r="571" customFormat="false" ht="15" hidden="false" customHeight="false" outlineLevel="0" collapsed="false">
      <c r="C571" s="0" t="n">
        <f aca="false">IF(AND(Comments!B569='Policy card'!$C$3,Comments!N569="Open"),1,0)</f>
        <v>0</v>
      </c>
      <c r="D571" s="0" t="str">
        <f aca="false">IF(C571=1,E571,IF(P571=1,$E$2003+Q571,""))</f>
        <v/>
      </c>
      <c r="E571" s="0" t="n">
        <f aca="false">E570+C571</f>
        <v>0</v>
      </c>
      <c r="P571" s="0" t="n">
        <f aca="false">IF(AND(Comments!B569='Policy card'!$C$3,Comments!N569="Closed"),1,0)</f>
        <v>0</v>
      </c>
      <c r="Q571" s="0" t="n">
        <f aca="false">Q570+P571</f>
        <v>7</v>
      </c>
    </row>
    <row r="572" customFormat="false" ht="15" hidden="false" customHeight="false" outlineLevel="0" collapsed="false">
      <c r="C572" s="0" t="n">
        <f aca="false">IF(AND(Comments!B570='Policy card'!$C$3,Comments!N570="Open"),1,0)</f>
        <v>0</v>
      </c>
      <c r="D572" s="0" t="str">
        <f aca="false">IF(C572=1,E572,IF(P572=1,$E$2003+Q572,""))</f>
        <v/>
      </c>
      <c r="E572" s="0" t="n">
        <f aca="false">E571+C572</f>
        <v>0</v>
      </c>
      <c r="P572" s="0" t="n">
        <f aca="false">IF(AND(Comments!B570='Policy card'!$C$3,Comments!N570="Closed"),1,0)</f>
        <v>0</v>
      </c>
      <c r="Q572" s="0" t="n">
        <f aca="false">Q571+P572</f>
        <v>7</v>
      </c>
    </row>
    <row r="573" customFormat="false" ht="15" hidden="false" customHeight="false" outlineLevel="0" collapsed="false">
      <c r="C573" s="0" t="n">
        <f aca="false">IF(AND(Comments!B571='Policy card'!$C$3,Comments!N571="Open"),1,0)</f>
        <v>0</v>
      </c>
      <c r="D573" s="0" t="str">
        <f aca="false">IF(C573=1,E573,IF(P573=1,$E$2003+Q573,""))</f>
        <v/>
      </c>
      <c r="E573" s="0" t="n">
        <f aca="false">E572+C573</f>
        <v>0</v>
      </c>
      <c r="P573" s="0" t="n">
        <f aca="false">IF(AND(Comments!B571='Policy card'!$C$3,Comments!N571="Closed"),1,0)</f>
        <v>0</v>
      </c>
      <c r="Q573" s="0" t="n">
        <f aca="false">Q572+P573</f>
        <v>7</v>
      </c>
    </row>
    <row r="574" customFormat="false" ht="15" hidden="false" customHeight="false" outlineLevel="0" collapsed="false">
      <c r="C574" s="0" t="n">
        <f aca="false">IF(AND(Comments!B572='Policy card'!$C$3,Comments!N572="Open"),1,0)</f>
        <v>0</v>
      </c>
      <c r="D574" s="0" t="str">
        <f aca="false">IF(C574=1,E574,IF(P574=1,$E$2003+Q574,""))</f>
        <v/>
      </c>
      <c r="E574" s="0" t="n">
        <f aca="false">E573+C574</f>
        <v>0</v>
      </c>
      <c r="P574" s="0" t="n">
        <f aca="false">IF(AND(Comments!B572='Policy card'!$C$3,Comments!N572="Closed"),1,0)</f>
        <v>0</v>
      </c>
      <c r="Q574" s="0" t="n">
        <f aca="false">Q573+P574</f>
        <v>7</v>
      </c>
    </row>
    <row r="575" customFormat="false" ht="15" hidden="false" customHeight="false" outlineLevel="0" collapsed="false">
      <c r="C575" s="0" t="n">
        <f aca="false">IF(AND(Comments!B573='Policy card'!$C$3,Comments!N573="Open"),1,0)</f>
        <v>0</v>
      </c>
      <c r="D575" s="0" t="str">
        <f aca="false">IF(C575=1,E575,IF(P575=1,$E$2003+Q575,""))</f>
        <v/>
      </c>
      <c r="E575" s="0" t="n">
        <f aca="false">E574+C575</f>
        <v>0</v>
      </c>
      <c r="P575" s="0" t="n">
        <f aca="false">IF(AND(Comments!B573='Policy card'!$C$3,Comments!N573="Closed"),1,0)</f>
        <v>0</v>
      </c>
      <c r="Q575" s="0" t="n">
        <f aca="false">Q574+P575</f>
        <v>7</v>
      </c>
    </row>
    <row r="576" customFormat="false" ht="15" hidden="false" customHeight="false" outlineLevel="0" collapsed="false">
      <c r="C576" s="0" t="n">
        <f aca="false">IF(AND(Comments!B574='Policy card'!$C$3,Comments!N574="Open"),1,0)</f>
        <v>0</v>
      </c>
      <c r="D576" s="0" t="str">
        <f aca="false">IF(C576=1,E576,IF(P576=1,$E$2003+Q576,""))</f>
        <v/>
      </c>
      <c r="E576" s="0" t="n">
        <f aca="false">E575+C576</f>
        <v>0</v>
      </c>
      <c r="P576" s="0" t="n">
        <f aca="false">IF(AND(Comments!B574='Policy card'!$C$3,Comments!N574="Closed"),1,0)</f>
        <v>0</v>
      </c>
      <c r="Q576" s="0" t="n">
        <f aca="false">Q575+P576</f>
        <v>7</v>
      </c>
    </row>
    <row r="577" customFormat="false" ht="15" hidden="false" customHeight="false" outlineLevel="0" collapsed="false">
      <c r="C577" s="0" t="n">
        <f aca="false">IF(AND(Comments!B575='Policy card'!$C$3,Comments!N575="Open"),1,0)</f>
        <v>0</v>
      </c>
      <c r="D577" s="0" t="str">
        <f aca="false">IF(C577=1,E577,IF(P577=1,$E$2003+Q577,""))</f>
        <v/>
      </c>
      <c r="E577" s="0" t="n">
        <f aca="false">E576+C577</f>
        <v>0</v>
      </c>
      <c r="P577" s="0" t="n">
        <f aca="false">IF(AND(Comments!B575='Policy card'!$C$3,Comments!N575="Closed"),1,0)</f>
        <v>0</v>
      </c>
      <c r="Q577" s="0" t="n">
        <f aca="false">Q576+P577</f>
        <v>7</v>
      </c>
    </row>
    <row r="578" customFormat="false" ht="15" hidden="false" customHeight="false" outlineLevel="0" collapsed="false">
      <c r="C578" s="0" t="n">
        <f aca="false">IF(AND(Comments!B576='Policy card'!$C$3,Comments!N576="Open"),1,0)</f>
        <v>0</v>
      </c>
      <c r="D578" s="0" t="str">
        <f aca="false">IF(C578=1,E578,IF(P578=1,$E$2003+Q578,""))</f>
        <v/>
      </c>
      <c r="E578" s="0" t="n">
        <f aca="false">E577+C578</f>
        <v>0</v>
      </c>
      <c r="P578" s="0" t="n">
        <f aca="false">IF(AND(Comments!B576='Policy card'!$C$3,Comments!N576="Closed"),1,0)</f>
        <v>0</v>
      </c>
      <c r="Q578" s="0" t="n">
        <f aca="false">Q577+P578</f>
        <v>7</v>
      </c>
    </row>
    <row r="579" customFormat="false" ht="15" hidden="false" customHeight="false" outlineLevel="0" collapsed="false">
      <c r="C579" s="0" t="n">
        <f aca="false">IF(AND(Comments!B577='Policy card'!$C$3,Comments!N577="Open"),1,0)</f>
        <v>0</v>
      </c>
      <c r="D579" s="0" t="str">
        <f aca="false">IF(C579=1,E579,IF(P579=1,$E$2003+Q579,""))</f>
        <v/>
      </c>
      <c r="E579" s="0" t="n">
        <f aca="false">E578+C579</f>
        <v>0</v>
      </c>
      <c r="P579" s="0" t="n">
        <f aca="false">IF(AND(Comments!B577='Policy card'!$C$3,Comments!N577="Closed"),1,0)</f>
        <v>0</v>
      </c>
      <c r="Q579" s="0" t="n">
        <f aca="false">Q578+P579</f>
        <v>7</v>
      </c>
    </row>
    <row r="580" customFormat="false" ht="15" hidden="false" customHeight="false" outlineLevel="0" collapsed="false">
      <c r="C580" s="0" t="n">
        <f aca="false">IF(AND(Comments!B578='Policy card'!$C$3,Comments!N578="Open"),1,0)</f>
        <v>0</v>
      </c>
      <c r="D580" s="0" t="str">
        <f aca="false">IF(C580=1,E580,IF(P580=1,$E$2003+Q580,""))</f>
        <v/>
      </c>
      <c r="E580" s="0" t="n">
        <f aca="false">E579+C580</f>
        <v>0</v>
      </c>
      <c r="P580" s="0" t="n">
        <f aca="false">IF(AND(Comments!B578='Policy card'!$C$3,Comments!N578="Closed"),1,0)</f>
        <v>0</v>
      </c>
      <c r="Q580" s="0" t="n">
        <f aca="false">Q579+P580</f>
        <v>7</v>
      </c>
    </row>
    <row r="581" customFormat="false" ht="15" hidden="false" customHeight="false" outlineLevel="0" collapsed="false">
      <c r="C581" s="0" t="n">
        <f aca="false">IF(AND(Comments!B579='Policy card'!$C$3,Comments!N579="Open"),1,0)</f>
        <v>0</v>
      </c>
      <c r="D581" s="0" t="str">
        <f aca="false">IF(C581=1,E581,IF(P581=1,$E$2003+Q581,""))</f>
        <v/>
      </c>
      <c r="E581" s="0" t="n">
        <f aca="false">E580+C581</f>
        <v>0</v>
      </c>
      <c r="P581" s="0" t="n">
        <f aca="false">IF(AND(Comments!B579='Policy card'!$C$3,Comments!N579="Closed"),1,0)</f>
        <v>0</v>
      </c>
      <c r="Q581" s="0" t="n">
        <f aca="false">Q580+P581</f>
        <v>7</v>
      </c>
    </row>
    <row r="582" customFormat="false" ht="15" hidden="false" customHeight="false" outlineLevel="0" collapsed="false">
      <c r="C582" s="0" t="n">
        <f aca="false">IF(AND(Comments!B580='Policy card'!$C$3,Comments!N580="Open"),1,0)</f>
        <v>0</v>
      </c>
      <c r="D582" s="0" t="str">
        <f aca="false">IF(C582=1,E582,IF(P582=1,$E$2003+Q582,""))</f>
        <v/>
      </c>
      <c r="E582" s="0" t="n">
        <f aca="false">E581+C582</f>
        <v>0</v>
      </c>
      <c r="P582" s="0" t="n">
        <f aca="false">IF(AND(Comments!B580='Policy card'!$C$3,Comments!N580="Closed"),1,0)</f>
        <v>0</v>
      </c>
      <c r="Q582" s="0" t="n">
        <f aca="false">Q581+P582</f>
        <v>7</v>
      </c>
    </row>
    <row r="583" customFormat="false" ht="15" hidden="false" customHeight="false" outlineLevel="0" collapsed="false">
      <c r="C583" s="0" t="n">
        <f aca="false">IF(AND(Comments!B581='Policy card'!$C$3,Comments!N581="Open"),1,0)</f>
        <v>0</v>
      </c>
      <c r="D583" s="0" t="str">
        <f aca="false">IF(C583=1,E583,IF(P583=1,$E$2003+Q583,""))</f>
        <v/>
      </c>
      <c r="E583" s="0" t="n">
        <f aca="false">E582+C583</f>
        <v>0</v>
      </c>
      <c r="P583" s="0" t="n">
        <f aca="false">IF(AND(Comments!B581='Policy card'!$C$3,Comments!N581="Closed"),1,0)</f>
        <v>0</v>
      </c>
      <c r="Q583" s="0" t="n">
        <f aca="false">Q582+P583</f>
        <v>7</v>
      </c>
    </row>
    <row r="584" customFormat="false" ht="15" hidden="false" customHeight="false" outlineLevel="0" collapsed="false">
      <c r="C584" s="0" t="n">
        <f aca="false">IF(AND(Comments!B582='Policy card'!$C$3,Comments!N582="Open"),1,0)</f>
        <v>0</v>
      </c>
      <c r="D584" s="0" t="str">
        <f aca="false">IF(C584=1,E584,IF(P584=1,$E$2003+Q584,""))</f>
        <v/>
      </c>
      <c r="E584" s="0" t="n">
        <f aca="false">E583+C584</f>
        <v>0</v>
      </c>
      <c r="P584" s="0" t="n">
        <f aca="false">IF(AND(Comments!B582='Policy card'!$C$3,Comments!N582="Closed"),1,0)</f>
        <v>0</v>
      </c>
      <c r="Q584" s="0" t="n">
        <f aca="false">Q583+P584</f>
        <v>7</v>
      </c>
    </row>
    <row r="585" customFormat="false" ht="15" hidden="false" customHeight="false" outlineLevel="0" collapsed="false">
      <c r="C585" s="0" t="n">
        <f aca="false">IF(AND(Comments!B583='Policy card'!$C$3,Comments!N583="Open"),1,0)</f>
        <v>0</v>
      </c>
      <c r="D585" s="0" t="str">
        <f aca="false">IF(C585=1,E585,IF(P585=1,$E$2003+Q585,""))</f>
        <v/>
      </c>
      <c r="E585" s="0" t="n">
        <f aca="false">E584+C585</f>
        <v>0</v>
      </c>
      <c r="P585" s="0" t="n">
        <f aca="false">IF(AND(Comments!B583='Policy card'!$C$3,Comments!N583="Closed"),1,0)</f>
        <v>0</v>
      </c>
      <c r="Q585" s="0" t="n">
        <f aca="false">Q584+P585</f>
        <v>7</v>
      </c>
    </row>
    <row r="586" customFormat="false" ht="15" hidden="false" customHeight="false" outlineLevel="0" collapsed="false">
      <c r="C586" s="0" t="n">
        <f aca="false">IF(AND(Comments!B584='Policy card'!$C$3,Comments!N584="Open"),1,0)</f>
        <v>0</v>
      </c>
      <c r="D586" s="0" t="str">
        <f aca="false">IF(C586=1,E586,IF(P586=1,$E$2003+Q586,""))</f>
        <v/>
      </c>
      <c r="E586" s="0" t="n">
        <f aca="false">E585+C586</f>
        <v>0</v>
      </c>
      <c r="P586" s="0" t="n">
        <f aca="false">IF(AND(Comments!B584='Policy card'!$C$3,Comments!N584="Closed"),1,0)</f>
        <v>0</v>
      </c>
      <c r="Q586" s="0" t="n">
        <f aca="false">Q585+P586</f>
        <v>7</v>
      </c>
    </row>
    <row r="587" customFormat="false" ht="15" hidden="false" customHeight="false" outlineLevel="0" collapsed="false">
      <c r="C587" s="0" t="n">
        <f aca="false">IF(AND(Comments!B585='Policy card'!$C$3,Comments!N585="Open"),1,0)</f>
        <v>0</v>
      </c>
      <c r="D587" s="0" t="str">
        <f aca="false">IF(C587=1,E587,IF(P587=1,$E$2003+Q587,""))</f>
        <v/>
      </c>
      <c r="E587" s="0" t="n">
        <f aca="false">E586+C587</f>
        <v>0</v>
      </c>
      <c r="P587" s="0" t="n">
        <f aca="false">IF(AND(Comments!B585='Policy card'!$C$3,Comments!N585="Closed"),1,0)</f>
        <v>0</v>
      </c>
      <c r="Q587" s="0" t="n">
        <f aca="false">Q586+P587</f>
        <v>7</v>
      </c>
    </row>
    <row r="588" customFormat="false" ht="15" hidden="false" customHeight="false" outlineLevel="0" collapsed="false">
      <c r="C588" s="0" t="n">
        <f aca="false">IF(AND(Comments!B586='Policy card'!$C$3,Comments!N586="Open"),1,0)</f>
        <v>0</v>
      </c>
      <c r="D588" s="0" t="str">
        <f aca="false">IF(C588=1,E588,IF(P588=1,$E$2003+Q588,""))</f>
        <v/>
      </c>
      <c r="E588" s="0" t="n">
        <f aca="false">E587+C588</f>
        <v>0</v>
      </c>
      <c r="P588" s="0" t="n">
        <f aca="false">IF(AND(Comments!B586='Policy card'!$C$3,Comments!N586="Closed"),1,0)</f>
        <v>0</v>
      </c>
      <c r="Q588" s="0" t="n">
        <f aca="false">Q587+P588</f>
        <v>7</v>
      </c>
    </row>
    <row r="589" customFormat="false" ht="15" hidden="false" customHeight="false" outlineLevel="0" collapsed="false">
      <c r="C589" s="0" t="n">
        <f aca="false">IF(AND(Comments!B587='Policy card'!$C$3,Comments!N587="Open"),1,0)</f>
        <v>0</v>
      </c>
      <c r="D589" s="0" t="str">
        <f aca="false">IF(C589=1,E589,IF(P589=1,$E$2003+Q589,""))</f>
        <v/>
      </c>
      <c r="E589" s="0" t="n">
        <f aca="false">E588+C589</f>
        <v>0</v>
      </c>
      <c r="P589" s="0" t="n">
        <f aca="false">IF(AND(Comments!B587='Policy card'!$C$3,Comments!N587="Closed"),1,0)</f>
        <v>0</v>
      </c>
      <c r="Q589" s="0" t="n">
        <f aca="false">Q588+P589</f>
        <v>7</v>
      </c>
    </row>
    <row r="590" customFormat="false" ht="15" hidden="false" customHeight="false" outlineLevel="0" collapsed="false">
      <c r="C590" s="0" t="n">
        <f aca="false">IF(AND(Comments!B588='Policy card'!$C$3,Comments!N588="Open"),1,0)</f>
        <v>0</v>
      </c>
      <c r="D590" s="0" t="str">
        <f aca="false">IF(C590=1,E590,IF(P590=1,$E$2003+Q590,""))</f>
        <v/>
      </c>
      <c r="E590" s="0" t="n">
        <f aca="false">E589+C590</f>
        <v>0</v>
      </c>
      <c r="P590" s="0" t="n">
        <f aca="false">IF(AND(Comments!B588='Policy card'!$C$3,Comments!N588="Closed"),1,0)</f>
        <v>0</v>
      </c>
      <c r="Q590" s="0" t="n">
        <f aca="false">Q589+P590</f>
        <v>7</v>
      </c>
    </row>
    <row r="591" customFormat="false" ht="15" hidden="false" customHeight="false" outlineLevel="0" collapsed="false">
      <c r="C591" s="0" t="n">
        <f aca="false">IF(AND(Comments!B589='Policy card'!$C$3,Comments!N589="Open"),1,0)</f>
        <v>0</v>
      </c>
      <c r="D591" s="0" t="str">
        <f aca="false">IF(C591=1,E591,IF(P591=1,$E$2003+Q591,""))</f>
        <v/>
      </c>
      <c r="E591" s="0" t="n">
        <f aca="false">E590+C591</f>
        <v>0</v>
      </c>
      <c r="P591" s="0" t="n">
        <f aca="false">IF(AND(Comments!B589='Policy card'!$C$3,Comments!N589="Closed"),1,0)</f>
        <v>0</v>
      </c>
      <c r="Q591" s="0" t="n">
        <f aca="false">Q590+P591</f>
        <v>7</v>
      </c>
    </row>
    <row r="592" customFormat="false" ht="15" hidden="false" customHeight="false" outlineLevel="0" collapsed="false">
      <c r="C592" s="0" t="n">
        <f aca="false">IF(AND(Comments!B590='Policy card'!$C$3,Comments!N590="Open"),1,0)</f>
        <v>0</v>
      </c>
      <c r="D592" s="0" t="str">
        <f aca="false">IF(C592=1,E592,IF(P592=1,$E$2003+Q592,""))</f>
        <v/>
      </c>
      <c r="E592" s="0" t="n">
        <f aca="false">E591+C592</f>
        <v>0</v>
      </c>
      <c r="P592" s="0" t="n">
        <f aca="false">IF(AND(Comments!B590='Policy card'!$C$3,Comments!N590="Closed"),1,0)</f>
        <v>0</v>
      </c>
      <c r="Q592" s="0" t="n">
        <f aca="false">Q591+P592</f>
        <v>7</v>
      </c>
    </row>
    <row r="593" customFormat="false" ht="15" hidden="false" customHeight="false" outlineLevel="0" collapsed="false">
      <c r="C593" s="0" t="n">
        <f aca="false">IF(AND(Comments!B591='Policy card'!$C$3,Comments!N591="Open"),1,0)</f>
        <v>0</v>
      </c>
      <c r="D593" s="0" t="str">
        <f aca="false">IF(C593=1,E593,IF(P593=1,$E$2003+Q593,""))</f>
        <v/>
      </c>
      <c r="E593" s="0" t="n">
        <f aca="false">E592+C593</f>
        <v>0</v>
      </c>
      <c r="P593" s="0" t="n">
        <f aca="false">IF(AND(Comments!B591='Policy card'!$C$3,Comments!N591="Closed"),1,0)</f>
        <v>0</v>
      </c>
      <c r="Q593" s="0" t="n">
        <f aca="false">Q592+P593</f>
        <v>7</v>
      </c>
    </row>
    <row r="594" customFormat="false" ht="15" hidden="false" customHeight="false" outlineLevel="0" collapsed="false">
      <c r="C594" s="0" t="n">
        <f aca="false">IF(AND(Comments!B592='Policy card'!$C$3,Comments!N592="Open"),1,0)</f>
        <v>0</v>
      </c>
      <c r="D594" s="0" t="str">
        <f aca="false">IF(C594=1,E594,IF(P594=1,$E$2003+Q594,""))</f>
        <v/>
      </c>
      <c r="E594" s="0" t="n">
        <f aca="false">E593+C594</f>
        <v>0</v>
      </c>
      <c r="P594" s="0" t="n">
        <f aca="false">IF(AND(Comments!B592='Policy card'!$C$3,Comments!N592="Closed"),1,0)</f>
        <v>0</v>
      </c>
      <c r="Q594" s="0" t="n">
        <f aca="false">Q593+P594</f>
        <v>7</v>
      </c>
    </row>
    <row r="595" customFormat="false" ht="15" hidden="false" customHeight="false" outlineLevel="0" collapsed="false">
      <c r="C595" s="0" t="n">
        <f aca="false">IF(AND(Comments!B593='Policy card'!$C$3,Comments!N593="Open"),1,0)</f>
        <v>0</v>
      </c>
      <c r="D595" s="0" t="str">
        <f aca="false">IF(C595=1,E595,IF(P595=1,$E$2003+Q595,""))</f>
        <v/>
      </c>
      <c r="E595" s="0" t="n">
        <f aca="false">E594+C595</f>
        <v>0</v>
      </c>
      <c r="P595" s="0" t="n">
        <f aca="false">IF(AND(Comments!B593='Policy card'!$C$3,Comments!N593="Closed"),1,0)</f>
        <v>0</v>
      </c>
      <c r="Q595" s="0" t="n">
        <f aca="false">Q594+P595</f>
        <v>7</v>
      </c>
    </row>
    <row r="596" customFormat="false" ht="15" hidden="false" customHeight="false" outlineLevel="0" collapsed="false">
      <c r="C596" s="0" t="n">
        <f aca="false">IF(AND(Comments!B594='Policy card'!$C$3,Comments!N594="Open"),1,0)</f>
        <v>0</v>
      </c>
      <c r="D596" s="0" t="str">
        <f aca="false">IF(C596=1,E596,IF(P596=1,$E$2003+Q596,""))</f>
        <v/>
      </c>
      <c r="E596" s="0" t="n">
        <f aca="false">E595+C596</f>
        <v>0</v>
      </c>
      <c r="P596" s="0" t="n">
        <f aca="false">IF(AND(Comments!B594='Policy card'!$C$3,Comments!N594="Closed"),1,0)</f>
        <v>0</v>
      </c>
      <c r="Q596" s="0" t="n">
        <f aca="false">Q595+P596</f>
        <v>7</v>
      </c>
    </row>
    <row r="597" customFormat="false" ht="15" hidden="false" customHeight="false" outlineLevel="0" collapsed="false">
      <c r="C597" s="0" t="n">
        <f aca="false">IF(AND(Comments!B595='Policy card'!$C$3,Comments!N595="Open"),1,0)</f>
        <v>0</v>
      </c>
      <c r="D597" s="0" t="str">
        <f aca="false">IF(C597=1,E597,IF(P597=1,$E$2003+Q597,""))</f>
        <v/>
      </c>
      <c r="E597" s="0" t="n">
        <f aca="false">E596+C597</f>
        <v>0</v>
      </c>
      <c r="P597" s="0" t="n">
        <f aca="false">IF(AND(Comments!B595='Policy card'!$C$3,Comments!N595="Closed"),1,0)</f>
        <v>0</v>
      </c>
      <c r="Q597" s="0" t="n">
        <f aca="false">Q596+P597</f>
        <v>7</v>
      </c>
    </row>
    <row r="598" customFormat="false" ht="15" hidden="false" customHeight="false" outlineLevel="0" collapsed="false">
      <c r="C598" s="0" t="n">
        <f aca="false">IF(AND(Comments!B596='Policy card'!$C$3,Comments!N596="Open"),1,0)</f>
        <v>0</v>
      </c>
      <c r="D598" s="0" t="str">
        <f aca="false">IF(C598=1,E598,IF(P598=1,$E$2003+Q598,""))</f>
        <v/>
      </c>
      <c r="E598" s="0" t="n">
        <f aca="false">E597+C598</f>
        <v>0</v>
      </c>
      <c r="P598" s="0" t="n">
        <f aca="false">IF(AND(Comments!B596='Policy card'!$C$3,Comments!N596="Closed"),1,0)</f>
        <v>0</v>
      </c>
      <c r="Q598" s="0" t="n">
        <f aca="false">Q597+P598</f>
        <v>7</v>
      </c>
    </row>
    <row r="599" customFormat="false" ht="15" hidden="false" customHeight="false" outlineLevel="0" collapsed="false">
      <c r="C599" s="0" t="n">
        <f aca="false">IF(AND(Comments!B597='Policy card'!$C$3,Comments!N597="Open"),1,0)</f>
        <v>0</v>
      </c>
      <c r="D599" s="0" t="str">
        <f aca="false">IF(C599=1,E599,IF(P599=1,$E$2003+Q599,""))</f>
        <v/>
      </c>
      <c r="E599" s="0" t="n">
        <f aca="false">E598+C599</f>
        <v>0</v>
      </c>
      <c r="P599" s="0" t="n">
        <f aca="false">IF(AND(Comments!B597='Policy card'!$C$3,Comments!N597="Closed"),1,0)</f>
        <v>0</v>
      </c>
      <c r="Q599" s="0" t="n">
        <f aca="false">Q598+P599</f>
        <v>7</v>
      </c>
    </row>
    <row r="600" customFormat="false" ht="15" hidden="false" customHeight="false" outlineLevel="0" collapsed="false">
      <c r="C600" s="0" t="n">
        <f aca="false">IF(AND(Comments!B598='Policy card'!$C$3,Comments!N598="Open"),1,0)</f>
        <v>0</v>
      </c>
      <c r="D600" s="0" t="str">
        <f aca="false">IF(C600=1,E600,IF(P600=1,$E$2003+Q600,""))</f>
        <v/>
      </c>
      <c r="E600" s="0" t="n">
        <f aca="false">E599+C600</f>
        <v>0</v>
      </c>
      <c r="P600" s="0" t="n">
        <f aca="false">IF(AND(Comments!B598='Policy card'!$C$3,Comments!N598="Closed"),1,0)</f>
        <v>0</v>
      </c>
      <c r="Q600" s="0" t="n">
        <f aca="false">Q599+P600</f>
        <v>7</v>
      </c>
    </row>
    <row r="601" customFormat="false" ht="15" hidden="false" customHeight="false" outlineLevel="0" collapsed="false">
      <c r="C601" s="0" t="n">
        <f aca="false">IF(AND(Comments!B599='Policy card'!$C$3,Comments!N599="Open"),1,0)</f>
        <v>0</v>
      </c>
      <c r="D601" s="0" t="str">
        <f aca="false">IF(C601=1,E601,IF(P601=1,$E$2003+Q601,""))</f>
        <v/>
      </c>
      <c r="E601" s="0" t="n">
        <f aca="false">E600+C601</f>
        <v>0</v>
      </c>
      <c r="P601" s="0" t="n">
        <f aca="false">IF(AND(Comments!B599='Policy card'!$C$3,Comments!N599="Closed"),1,0)</f>
        <v>0</v>
      </c>
      <c r="Q601" s="0" t="n">
        <f aca="false">Q600+P601</f>
        <v>7</v>
      </c>
    </row>
    <row r="602" customFormat="false" ht="15" hidden="false" customHeight="false" outlineLevel="0" collapsed="false">
      <c r="C602" s="0" t="n">
        <f aca="false">IF(AND(Comments!B600='Policy card'!$C$3,Comments!N600="Open"),1,0)</f>
        <v>0</v>
      </c>
      <c r="D602" s="0" t="str">
        <f aca="false">IF(C602=1,E602,IF(P602=1,$E$2003+Q602,""))</f>
        <v/>
      </c>
      <c r="E602" s="0" t="n">
        <f aca="false">E601+C602</f>
        <v>0</v>
      </c>
      <c r="P602" s="0" t="n">
        <f aca="false">IF(AND(Comments!B600='Policy card'!$C$3,Comments!N600="Closed"),1,0)</f>
        <v>0</v>
      </c>
      <c r="Q602" s="0" t="n">
        <f aca="false">Q601+P602</f>
        <v>7</v>
      </c>
    </row>
    <row r="603" customFormat="false" ht="15" hidden="false" customHeight="false" outlineLevel="0" collapsed="false">
      <c r="C603" s="0" t="n">
        <f aca="false">IF(AND(Comments!B601='Policy card'!$C$3,Comments!N601="Open"),1,0)</f>
        <v>0</v>
      </c>
      <c r="D603" s="0" t="str">
        <f aca="false">IF(C603=1,E603,IF(P603=1,$E$2003+Q603,""))</f>
        <v/>
      </c>
      <c r="E603" s="0" t="n">
        <f aca="false">E602+C603</f>
        <v>0</v>
      </c>
      <c r="P603" s="0" t="n">
        <f aca="false">IF(AND(Comments!B601='Policy card'!$C$3,Comments!N601="Closed"),1,0)</f>
        <v>0</v>
      </c>
      <c r="Q603" s="0" t="n">
        <f aca="false">Q602+P603</f>
        <v>7</v>
      </c>
    </row>
    <row r="604" customFormat="false" ht="15" hidden="false" customHeight="false" outlineLevel="0" collapsed="false">
      <c r="C604" s="0" t="n">
        <f aca="false">IF(AND(Comments!B602='Policy card'!$C$3,Comments!N602="Open"),1,0)</f>
        <v>0</v>
      </c>
      <c r="D604" s="0" t="str">
        <f aca="false">IF(C604=1,E604,IF(P604=1,$E$2003+Q604,""))</f>
        <v/>
      </c>
      <c r="E604" s="0" t="n">
        <f aca="false">E603+C604</f>
        <v>0</v>
      </c>
      <c r="P604" s="0" t="n">
        <f aca="false">IF(AND(Comments!B602='Policy card'!$C$3,Comments!N602="Closed"),1,0)</f>
        <v>0</v>
      </c>
      <c r="Q604" s="0" t="n">
        <f aca="false">Q603+P604</f>
        <v>7</v>
      </c>
    </row>
    <row r="605" customFormat="false" ht="15" hidden="false" customHeight="false" outlineLevel="0" collapsed="false">
      <c r="C605" s="0" t="n">
        <f aca="false">IF(AND(Comments!B603='Policy card'!$C$3,Comments!N603="Open"),1,0)</f>
        <v>0</v>
      </c>
      <c r="D605" s="0" t="str">
        <f aca="false">IF(C605=1,E605,IF(P605=1,$E$2003+Q605,""))</f>
        <v/>
      </c>
      <c r="E605" s="0" t="n">
        <f aca="false">E604+C605</f>
        <v>0</v>
      </c>
      <c r="P605" s="0" t="n">
        <f aca="false">IF(AND(Comments!B603='Policy card'!$C$3,Comments!N603="Closed"),1,0)</f>
        <v>0</v>
      </c>
      <c r="Q605" s="0" t="n">
        <f aca="false">Q604+P605</f>
        <v>7</v>
      </c>
    </row>
    <row r="606" customFormat="false" ht="15" hidden="false" customHeight="false" outlineLevel="0" collapsed="false">
      <c r="C606" s="0" t="n">
        <f aca="false">IF(AND(Comments!B604='Policy card'!$C$3,Comments!N604="Open"),1,0)</f>
        <v>0</v>
      </c>
      <c r="D606" s="0" t="str">
        <f aca="false">IF(C606=1,E606,IF(P606=1,$E$2003+Q606,""))</f>
        <v/>
      </c>
      <c r="E606" s="0" t="n">
        <f aca="false">E605+C606</f>
        <v>0</v>
      </c>
      <c r="P606" s="0" t="n">
        <f aca="false">IF(AND(Comments!B604='Policy card'!$C$3,Comments!N604="Closed"),1,0)</f>
        <v>0</v>
      </c>
      <c r="Q606" s="0" t="n">
        <f aca="false">Q605+P606</f>
        <v>7</v>
      </c>
    </row>
    <row r="607" customFormat="false" ht="15" hidden="false" customHeight="false" outlineLevel="0" collapsed="false">
      <c r="C607" s="0" t="n">
        <f aca="false">IF(AND(Comments!B605='Policy card'!$C$3,Comments!N605="Open"),1,0)</f>
        <v>0</v>
      </c>
      <c r="D607" s="0" t="str">
        <f aca="false">IF(C607=1,E607,IF(P607=1,$E$2003+Q607,""))</f>
        <v/>
      </c>
      <c r="E607" s="0" t="n">
        <f aca="false">E606+C607</f>
        <v>0</v>
      </c>
      <c r="P607" s="0" t="n">
        <f aca="false">IF(AND(Comments!B605='Policy card'!$C$3,Comments!N605="Closed"),1,0)</f>
        <v>0</v>
      </c>
      <c r="Q607" s="0" t="n">
        <f aca="false">Q606+P607</f>
        <v>7</v>
      </c>
    </row>
    <row r="608" customFormat="false" ht="15" hidden="false" customHeight="false" outlineLevel="0" collapsed="false">
      <c r="C608" s="0" t="n">
        <f aca="false">IF(AND(Comments!B606='Policy card'!$C$3,Comments!N606="Open"),1,0)</f>
        <v>0</v>
      </c>
      <c r="D608" s="0" t="str">
        <f aca="false">IF(C608=1,E608,IF(P608=1,$E$2003+Q608,""))</f>
        <v/>
      </c>
      <c r="E608" s="0" t="n">
        <f aca="false">E607+C608</f>
        <v>0</v>
      </c>
      <c r="P608" s="0" t="n">
        <f aca="false">IF(AND(Comments!B606='Policy card'!$C$3,Comments!N606="Closed"),1,0)</f>
        <v>0</v>
      </c>
      <c r="Q608" s="0" t="n">
        <f aca="false">Q607+P608</f>
        <v>7</v>
      </c>
    </row>
    <row r="609" customFormat="false" ht="15" hidden="false" customHeight="false" outlineLevel="0" collapsed="false">
      <c r="C609" s="0" t="n">
        <f aca="false">IF(AND(Comments!B607='Policy card'!$C$3,Comments!N607="Open"),1,0)</f>
        <v>0</v>
      </c>
      <c r="D609" s="0" t="str">
        <f aca="false">IF(C609=1,E609,IF(P609=1,$E$2003+Q609,""))</f>
        <v/>
      </c>
      <c r="E609" s="0" t="n">
        <f aca="false">E608+C609</f>
        <v>0</v>
      </c>
      <c r="P609" s="0" t="n">
        <f aca="false">IF(AND(Comments!B607='Policy card'!$C$3,Comments!N607="Closed"),1,0)</f>
        <v>0</v>
      </c>
      <c r="Q609" s="0" t="n">
        <f aca="false">Q608+P609</f>
        <v>7</v>
      </c>
    </row>
    <row r="610" customFormat="false" ht="15" hidden="false" customHeight="false" outlineLevel="0" collapsed="false">
      <c r="C610" s="0" t="n">
        <f aca="false">IF(AND(Comments!B608='Policy card'!$C$3,Comments!N608="Open"),1,0)</f>
        <v>0</v>
      </c>
      <c r="D610" s="0" t="str">
        <f aca="false">IF(C610=1,E610,IF(P610=1,$E$2003+Q610,""))</f>
        <v/>
      </c>
      <c r="E610" s="0" t="n">
        <f aca="false">E609+C610</f>
        <v>0</v>
      </c>
      <c r="P610" s="0" t="n">
        <f aca="false">IF(AND(Comments!B608='Policy card'!$C$3,Comments!N608="Closed"),1,0)</f>
        <v>0</v>
      </c>
      <c r="Q610" s="0" t="n">
        <f aca="false">Q609+P610</f>
        <v>7</v>
      </c>
    </row>
    <row r="611" customFormat="false" ht="15" hidden="false" customHeight="false" outlineLevel="0" collapsed="false">
      <c r="C611" s="0" t="n">
        <f aca="false">IF(AND(Comments!B609='Policy card'!$C$3,Comments!N609="Open"),1,0)</f>
        <v>0</v>
      </c>
      <c r="D611" s="0" t="str">
        <f aca="false">IF(C611=1,E611,IF(P611=1,$E$2003+Q611,""))</f>
        <v/>
      </c>
      <c r="E611" s="0" t="n">
        <f aca="false">E610+C611</f>
        <v>0</v>
      </c>
      <c r="P611" s="0" t="n">
        <f aca="false">IF(AND(Comments!B609='Policy card'!$C$3,Comments!N609="Closed"),1,0)</f>
        <v>0</v>
      </c>
      <c r="Q611" s="0" t="n">
        <f aca="false">Q610+P611</f>
        <v>7</v>
      </c>
    </row>
    <row r="612" customFormat="false" ht="15" hidden="false" customHeight="false" outlineLevel="0" collapsed="false">
      <c r="C612" s="0" t="n">
        <f aca="false">IF(AND(Comments!B610='Policy card'!$C$3,Comments!N610="Open"),1,0)</f>
        <v>0</v>
      </c>
      <c r="D612" s="0" t="str">
        <f aca="false">IF(C612=1,E612,IF(P612=1,$E$2003+Q612,""))</f>
        <v/>
      </c>
      <c r="E612" s="0" t="n">
        <f aca="false">E611+C612</f>
        <v>0</v>
      </c>
      <c r="P612" s="0" t="n">
        <f aca="false">IF(AND(Comments!B610='Policy card'!$C$3,Comments!N610="Closed"),1,0)</f>
        <v>0</v>
      </c>
      <c r="Q612" s="0" t="n">
        <f aca="false">Q611+P612</f>
        <v>7</v>
      </c>
    </row>
    <row r="613" customFormat="false" ht="15" hidden="false" customHeight="false" outlineLevel="0" collapsed="false">
      <c r="C613" s="0" t="n">
        <f aca="false">IF(AND(Comments!B611='Policy card'!$C$3,Comments!N611="Open"),1,0)</f>
        <v>0</v>
      </c>
      <c r="D613" s="0" t="str">
        <f aca="false">IF(C613=1,E613,IF(P613=1,$E$2003+Q613,""))</f>
        <v/>
      </c>
      <c r="E613" s="0" t="n">
        <f aca="false">E612+C613</f>
        <v>0</v>
      </c>
      <c r="P613" s="0" t="n">
        <f aca="false">IF(AND(Comments!B611='Policy card'!$C$3,Comments!N611="Closed"),1,0)</f>
        <v>0</v>
      </c>
      <c r="Q613" s="0" t="n">
        <f aca="false">Q612+P613</f>
        <v>7</v>
      </c>
    </row>
    <row r="614" customFormat="false" ht="15" hidden="false" customHeight="false" outlineLevel="0" collapsed="false">
      <c r="C614" s="0" t="n">
        <f aca="false">IF(AND(Comments!B612='Policy card'!$C$3,Comments!N612="Open"),1,0)</f>
        <v>0</v>
      </c>
      <c r="D614" s="0" t="str">
        <f aca="false">IF(C614=1,E614,IF(P614=1,$E$2003+Q614,""))</f>
        <v/>
      </c>
      <c r="E614" s="0" t="n">
        <f aca="false">E613+C614</f>
        <v>0</v>
      </c>
      <c r="P614" s="0" t="n">
        <f aca="false">IF(AND(Comments!B612='Policy card'!$C$3,Comments!N612="Closed"),1,0)</f>
        <v>0</v>
      </c>
      <c r="Q614" s="0" t="n">
        <f aca="false">Q613+P614</f>
        <v>7</v>
      </c>
    </row>
    <row r="615" customFormat="false" ht="15" hidden="false" customHeight="false" outlineLevel="0" collapsed="false">
      <c r="C615" s="0" t="n">
        <f aca="false">IF(AND(Comments!B613='Policy card'!$C$3,Comments!N613="Open"),1,0)</f>
        <v>0</v>
      </c>
      <c r="D615" s="0" t="str">
        <f aca="false">IF(C615=1,E615,IF(P615=1,$E$2003+Q615,""))</f>
        <v/>
      </c>
      <c r="E615" s="0" t="n">
        <f aca="false">E614+C615</f>
        <v>0</v>
      </c>
      <c r="P615" s="0" t="n">
        <f aca="false">IF(AND(Comments!B613='Policy card'!$C$3,Comments!N613="Closed"),1,0)</f>
        <v>0</v>
      </c>
      <c r="Q615" s="0" t="n">
        <f aca="false">Q614+P615</f>
        <v>7</v>
      </c>
    </row>
    <row r="616" customFormat="false" ht="15" hidden="false" customHeight="false" outlineLevel="0" collapsed="false">
      <c r="C616" s="0" t="n">
        <f aca="false">IF(AND(Comments!B614='Policy card'!$C$3,Comments!N614="Open"),1,0)</f>
        <v>0</v>
      </c>
      <c r="D616" s="0" t="str">
        <f aca="false">IF(C616=1,E616,IF(P616=1,$E$2003+Q616,""))</f>
        <v/>
      </c>
      <c r="E616" s="0" t="n">
        <f aca="false">E615+C616</f>
        <v>0</v>
      </c>
      <c r="P616" s="0" t="n">
        <f aca="false">IF(AND(Comments!B614='Policy card'!$C$3,Comments!N614="Closed"),1,0)</f>
        <v>0</v>
      </c>
      <c r="Q616" s="0" t="n">
        <f aca="false">Q615+P616</f>
        <v>7</v>
      </c>
    </row>
    <row r="617" customFormat="false" ht="15" hidden="false" customHeight="false" outlineLevel="0" collapsed="false">
      <c r="C617" s="0" t="n">
        <f aca="false">IF(AND(Comments!B615='Policy card'!$C$3,Comments!N615="Open"),1,0)</f>
        <v>0</v>
      </c>
      <c r="D617" s="0" t="str">
        <f aca="false">IF(C617=1,E617,IF(P617=1,$E$2003+Q617,""))</f>
        <v/>
      </c>
      <c r="E617" s="0" t="n">
        <f aca="false">E616+C617</f>
        <v>0</v>
      </c>
      <c r="P617" s="0" t="n">
        <f aca="false">IF(AND(Comments!B615='Policy card'!$C$3,Comments!N615="Closed"),1,0)</f>
        <v>0</v>
      </c>
      <c r="Q617" s="0" t="n">
        <f aca="false">Q616+P617</f>
        <v>7</v>
      </c>
    </row>
    <row r="618" customFormat="false" ht="15" hidden="false" customHeight="false" outlineLevel="0" collapsed="false">
      <c r="C618" s="0" t="n">
        <f aca="false">IF(AND(Comments!B616='Policy card'!$C$3,Comments!N616="Open"),1,0)</f>
        <v>0</v>
      </c>
      <c r="D618" s="0" t="str">
        <f aca="false">IF(C618=1,E618,IF(P618=1,$E$2003+Q618,""))</f>
        <v/>
      </c>
      <c r="E618" s="0" t="n">
        <f aca="false">E617+C618</f>
        <v>0</v>
      </c>
      <c r="P618" s="0" t="n">
        <f aca="false">IF(AND(Comments!B616='Policy card'!$C$3,Comments!N616="Closed"),1,0)</f>
        <v>0</v>
      </c>
      <c r="Q618" s="0" t="n">
        <f aca="false">Q617+P618</f>
        <v>7</v>
      </c>
    </row>
    <row r="619" customFormat="false" ht="15" hidden="false" customHeight="false" outlineLevel="0" collapsed="false">
      <c r="C619" s="0" t="n">
        <f aca="false">IF(AND(Comments!B617='Policy card'!$C$3,Comments!N617="Open"),1,0)</f>
        <v>0</v>
      </c>
      <c r="D619" s="0" t="str">
        <f aca="false">IF(C619=1,E619,IF(P619=1,$E$2003+Q619,""))</f>
        <v/>
      </c>
      <c r="E619" s="0" t="n">
        <f aca="false">E618+C619</f>
        <v>0</v>
      </c>
      <c r="P619" s="0" t="n">
        <f aca="false">IF(AND(Comments!B617='Policy card'!$C$3,Comments!N617="Closed"),1,0)</f>
        <v>0</v>
      </c>
      <c r="Q619" s="0" t="n">
        <f aca="false">Q618+P619</f>
        <v>7</v>
      </c>
    </row>
    <row r="620" customFormat="false" ht="15" hidden="false" customHeight="false" outlineLevel="0" collapsed="false">
      <c r="C620" s="0" t="n">
        <f aca="false">IF(AND(Comments!B618='Policy card'!$C$3,Comments!N618="Open"),1,0)</f>
        <v>0</v>
      </c>
      <c r="D620" s="0" t="str">
        <f aca="false">IF(C620=1,E620,IF(P620=1,$E$2003+Q620,""))</f>
        <v/>
      </c>
      <c r="E620" s="0" t="n">
        <f aca="false">E619+C620</f>
        <v>0</v>
      </c>
      <c r="P620" s="0" t="n">
        <f aca="false">IF(AND(Comments!B618='Policy card'!$C$3,Comments!N618="Closed"),1,0)</f>
        <v>0</v>
      </c>
      <c r="Q620" s="0" t="n">
        <f aca="false">Q619+P620</f>
        <v>7</v>
      </c>
    </row>
    <row r="621" customFormat="false" ht="15" hidden="false" customHeight="false" outlineLevel="0" collapsed="false">
      <c r="C621" s="0" t="n">
        <f aca="false">IF(AND(Comments!B619='Policy card'!$C$3,Comments!N619="Open"),1,0)</f>
        <v>0</v>
      </c>
      <c r="D621" s="0" t="str">
        <f aca="false">IF(C621=1,E621,IF(P621=1,$E$2003+Q621,""))</f>
        <v/>
      </c>
      <c r="E621" s="0" t="n">
        <f aca="false">E620+C621</f>
        <v>0</v>
      </c>
      <c r="P621" s="0" t="n">
        <f aca="false">IF(AND(Comments!B619='Policy card'!$C$3,Comments!N619="Closed"),1,0)</f>
        <v>0</v>
      </c>
      <c r="Q621" s="0" t="n">
        <f aca="false">Q620+P621</f>
        <v>7</v>
      </c>
    </row>
    <row r="622" customFormat="false" ht="15" hidden="false" customHeight="false" outlineLevel="0" collapsed="false">
      <c r="C622" s="0" t="n">
        <f aca="false">IF(AND(Comments!B620='Policy card'!$C$3,Comments!N620="Open"),1,0)</f>
        <v>0</v>
      </c>
      <c r="D622" s="0" t="str">
        <f aca="false">IF(C622=1,E622,IF(P622=1,$E$2003+Q622,""))</f>
        <v/>
      </c>
      <c r="E622" s="0" t="n">
        <f aca="false">E621+C622</f>
        <v>0</v>
      </c>
      <c r="P622" s="0" t="n">
        <f aca="false">IF(AND(Comments!B620='Policy card'!$C$3,Comments!N620="Closed"),1,0)</f>
        <v>0</v>
      </c>
      <c r="Q622" s="0" t="n">
        <f aca="false">Q621+P622</f>
        <v>7</v>
      </c>
    </row>
    <row r="623" customFormat="false" ht="15" hidden="false" customHeight="false" outlineLevel="0" collapsed="false">
      <c r="C623" s="0" t="n">
        <f aca="false">IF(AND(Comments!B621='Policy card'!$C$3,Comments!N621="Open"),1,0)</f>
        <v>0</v>
      </c>
      <c r="D623" s="0" t="str">
        <f aca="false">IF(C623=1,E623,IF(P623=1,$E$2003+Q623,""))</f>
        <v/>
      </c>
      <c r="E623" s="0" t="n">
        <f aca="false">E622+C623</f>
        <v>0</v>
      </c>
      <c r="P623" s="0" t="n">
        <f aca="false">IF(AND(Comments!B621='Policy card'!$C$3,Comments!N621="Closed"),1,0)</f>
        <v>0</v>
      </c>
      <c r="Q623" s="0" t="n">
        <f aca="false">Q622+P623</f>
        <v>7</v>
      </c>
    </row>
    <row r="624" customFormat="false" ht="15" hidden="false" customHeight="false" outlineLevel="0" collapsed="false">
      <c r="C624" s="0" t="n">
        <f aca="false">IF(AND(Comments!B622='Policy card'!$C$3,Comments!N622="Open"),1,0)</f>
        <v>0</v>
      </c>
      <c r="D624" s="0" t="str">
        <f aca="false">IF(C624=1,E624,IF(P624=1,$E$2003+Q624,""))</f>
        <v/>
      </c>
      <c r="E624" s="0" t="n">
        <f aca="false">E623+C624</f>
        <v>0</v>
      </c>
      <c r="P624" s="0" t="n">
        <f aca="false">IF(AND(Comments!B622='Policy card'!$C$3,Comments!N622="Closed"),1,0)</f>
        <v>0</v>
      </c>
      <c r="Q624" s="0" t="n">
        <f aca="false">Q623+P624</f>
        <v>7</v>
      </c>
    </row>
    <row r="625" customFormat="false" ht="15" hidden="false" customHeight="false" outlineLevel="0" collapsed="false">
      <c r="C625" s="0" t="n">
        <f aca="false">IF(AND(Comments!B623='Policy card'!$C$3,Comments!N623="Open"),1,0)</f>
        <v>0</v>
      </c>
      <c r="D625" s="0" t="str">
        <f aca="false">IF(C625=1,E625,IF(P625=1,$E$2003+Q625,""))</f>
        <v/>
      </c>
      <c r="E625" s="0" t="n">
        <f aca="false">E624+C625</f>
        <v>0</v>
      </c>
      <c r="P625" s="0" t="n">
        <f aca="false">IF(AND(Comments!B623='Policy card'!$C$3,Comments!N623="Closed"),1,0)</f>
        <v>0</v>
      </c>
      <c r="Q625" s="0" t="n">
        <f aca="false">Q624+P625</f>
        <v>7</v>
      </c>
    </row>
    <row r="626" customFormat="false" ht="15" hidden="false" customHeight="false" outlineLevel="0" collapsed="false">
      <c r="C626" s="0" t="n">
        <f aca="false">IF(AND(Comments!B624='Policy card'!$C$3,Comments!N624="Open"),1,0)</f>
        <v>0</v>
      </c>
      <c r="D626" s="0" t="str">
        <f aca="false">IF(C626=1,E626,IF(P626=1,$E$2003+Q626,""))</f>
        <v/>
      </c>
      <c r="E626" s="0" t="n">
        <f aca="false">E625+C626</f>
        <v>0</v>
      </c>
      <c r="P626" s="0" t="n">
        <f aca="false">IF(AND(Comments!B624='Policy card'!$C$3,Comments!N624="Closed"),1,0)</f>
        <v>0</v>
      </c>
      <c r="Q626" s="0" t="n">
        <f aca="false">Q625+P626</f>
        <v>7</v>
      </c>
    </row>
    <row r="627" customFormat="false" ht="15" hidden="false" customHeight="false" outlineLevel="0" collapsed="false">
      <c r="C627" s="0" t="n">
        <f aca="false">IF(AND(Comments!B625='Policy card'!$C$3,Comments!N625="Open"),1,0)</f>
        <v>0</v>
      </c>
      <c r="D627" s="0" t="str">
        <f aca="false">IF(C627=1,E627,IF(P627=1,$E$2003+Q627,""))</f>
        <v/>
      </c>
      <c r="E627" s="0" t="n">
        <f aca="false">E626+C627</f>
        <v>0</v>
      </c>
      <c r="P627" s="0" t="n">
        <f aca="false">IF(AND(Comments!B625='Policy card'!$C$3,Comments!N625="Closed"),1,0)</f>
        <v>0</v>
      </c>
      <c r="Q627" s="0" t="n">
        <f aca="false">Q626+P627</f>
        <v>7</v>
      </c>
    </row>
    <row r="628" customFormat="false" ht="15" hidden="false" customHeight="false" outlineLevel="0" collapsed="false">
      <c r="C628" s="0" t="n">
        <f aca="false">IF(AND(Comments!B626='Policy card'!$C$3,Comments!N626="Open"),1,0)</f>
        <v>0</v>
      </c>
      <c r="D628" s="0" t="str">
        <f aca="false">IF(C628=1,E628,IF(P628=1,$E$2003+Q628,""))</f>
        <v/>
      </c>
      <c r="E628" s="0" t="n">
        <f aca="false">E627+C628</f>
        <v>0</v>
      </c>
      <c r="P628" s="0" t="n">
        <f aca="false">IF(AND(Comments!B626='Policy card'!$C$3,Comments!N626="Closed"),1,0)</f>
        <v>0</v>
      </c>
      <c r="Q628" s="0" t="n">
        <f aca="false">Q627+P628</f>
        <v>7</v>
      </c>
    </row>
    <row r="629" customFormat="false" ht="15" hidden="false" customHeight="false" outlineLevel="0" collapsed="false">
      <c r="C629" s="0" t="n">
        <f aca="false">IF(AND(Comments!B627='Policy card'!$C$3,Comments!N627="Open"),1,0)</f>
        <v>0</v>
      </c>
      <c r="D629" s="0" t="str">
        <f aca="false">IF(C629=1,E629,IF(P629=1,$E$2003+Q629,""))</f>
        <v/>
      </c>
      <c r="E629" s="0" t="n">
        <f aca="false">E628+C629</f>
        <v>0</v>
      </c>
      <c r="P629" s="0" t="n">
        <f aca="false">IF(AND(Comments!B627='Policy card'!$C$3,Comments!N627="Closed"),1,0)</f>
        <v>0</v>
      </c>
      <c r="Q629" s="0" t="n">
        <f aca="false">Q628+P629</f>
        <v>7</v>
      </c>
    </row>
    <row r="630" customFormat="false" ht="15" hidden="false" customHeight="false" outlineLevel="0" collapsed="false">
      <c r="C630" s="0" t="n">
        <f aca="false">IF(AND(Comments!B628='Policy card'!$C$3,Comments!N628="Open"),1,0)</f>
        <v>0</v>
      </c>
      <c r="D630" s="0" t="str">
        <f aca="false">IF(C630=1,E630,IF(P630=1,$E$2003+Q630,""))</f>
        <v/>
      </c>
      <c r="E630" s="0" t="n">
        <f aca="false">E629+C630</f>
        <v>0</v>
      </c>
      <c r="P630" s="0" t="n">
        <f aca="false">IF(AND(Comments!B628='Policy card'!$C$3,Comments!N628="Closed"),1,0)</f>
        <v>0</v>
      </c>
      <c r="Q630" s="0" t="n">
        <f aca="false">Q629+P630</f>
        <v>7</v>
      </c>
    </row>
    <row r="631" customFormat="false" ht="15" hidden="false" customHeight="false" outlineLevel="0" collapsed="false">
      <c r="C631" s="0" t="n">
        <f aca="false">IF(AND(Comments!B629='Policy card'!$C$3,Comments!N629="Open"),1,0)</f>
        <v>0</v>
      </c>
      <c r="D631" s="0" t="str">
        <f aca="false">IF(C631=1,E631,IF(P631=1,$E$2003+Q631,""))</f>
        <v/>
      </c>
      <c r="E631" s="0" t="n">
        <f aca="false">E630+C631</f>
        <v>0</v>
      </c>
      <c r="P631" s="0" t="n">
        <f aca="false">IF(AND(Comments!B629='Policy card'!$C$3,Comments!N629="Closed"),1,0)</f>
        <v>0</v>
      </c>
      <c r="Q631" s="0" t="n">
        <f aca="false">Q630+P631</f>
        <v>7</v>
      </c>
    </row>
    <row r="632" customFormat="false" ht="15" hidden="false" customHeight="false" outlineLevel="0" collapsed="false">
      <c r="C632" s="0" t="n">
        <f aca="false">IF(AND(Comments!B630='Policy card'!$C$3,Comments!N630="Open"),1,0)</f>
        <v>0</v>
      </c>
      <c r="D632" s="0" t="str">
        <f aca="false">IF(C632=1,E632,IF(P632=1,$E$2003+Q632,""))</f>
        <v/>
      </c>
      <c r="E632" s="0" t="n">
        <f aca="false">E631+C632</f>
        <v>0</v>
      </c>
      <c r="P632" s="0" t="n">
        <f aca="false">IF(AND(Comments!B630='Policy card'!$C$3,Comments!N630="Closed"),1,0)</f>
        <v>0</v>
      </c>
      <c r="Q632" s="0" t="n">
        <f aca="false">Q631+P632</f>
        <v>7</v>
      </c>
    </row>
    <row r="633" customFormat="false" ht="15" hidden="false" customHeight="false" outlineLevel="0" collapsed="false">
      <c r="C633" s="0" t="n">
        <f aca="false">IF(AND(Comments!B631='Policy card'!$C$3,Comments!N631="Open"),1,0)</f>
        <v>0</v>
      </c>
      <c r="D633" s="0" t="str">
        <f aca="false">IF(C633=1,E633,IF(P633=1,$E$2003+Q633,""))</f>
        <v/>
      </c>
      <c r="E633" s="0" t="n">
        <f aca="false">E632+C633</f>
        <v>0</v>
      </c>
      <c r="P633" s="0" t="n">
        <f aca="false">IF(AND(Comments!B631='Policy card'!$C$3,Comments!N631="Closed"),1,0)</f>
        <v>0</v>
      </c>
      <c r="Q633" s="0" t="n">
        <f aca="false">Q632+P633</f>
        <v>7</v>
      </c>
    </row>
    <row r="634" customFormat="false" ht="15" hidden="false" customHeight="false" outlineLevel="0" collapsed="false">
      <c r="C634" s="0" t="n">
        <f aca="false">IF(AND(Comments!B632='Policy card'!$C$3,Comments!N632="Open"),1,0)</f>
        <v>0</v>
      </c>
      <c r="D634" s="0" t="str">
        <f aca="false">IF(C634=1,E634,IF(P634=1,$E$2003+Q634,""))</f>
        <v/>
      </c>
      <c r="E634" s="0" t="n">
        <f aca="false">E633+C634</f>
        <v>0</v>
      </c>
      <c r="P634" s="0" t="n">
        <f aca="false">IF(AND(Comments!B632='Policy card'!$C$3,Comments!N632="Closed"),1,0)</f>
        <v>0</v>
      </c>
      <c r="Q634" s="0" t="n">
        <f aca="false">Q633+P634</f>
        <v>7</v>
      </c>
    </row>
    <row r="635" customFormat="false" ht="15" hidden="false" customHeight="false" outlineLevel="0" collapsed="false">
      <c r="C635" s="0" t="n">
        <f aca="false">IF(AND(Comments!B633='Policy card'!$C$3,Comments!N633="Open"),1,0)</f>
        <v>0</v>
      </c>
      <c r="D635" s="0" t="str">
        <f aca="false">IF(C635=1,E635,IF(P635=1,$E$2003+Q635,""))</f>
        <v/>
      </c>
      <c r="E635" s="0" t="n">
        <f aca="false">E634+C635</f>
        <v>0</v>
      </c>
      <c r="P635" s="0" t="n">
        <f aca="false">IF(AND(Comments!B633='Policy card'!$C$3,Comments!N633="Closed"),1,0)</f>
        <v>0</v>
      </c>
      <c r="Q635" s="0" t="n">
        <f aca="false">Q634+P635</f>
        <v>7</v>
      </c>
    </row>
    <row r="636" customFormat="false" ht="15" hidden="false" customHeight="false" outlineLevel="0" collapsed="false">
      <c r="C636" s="0" t="n">
        <f aca="false">IF(AND(Comments!B634='Policy card'!$C$3,Comments!N634="Open"),1,0)</f>
        <v>0</v>
      </c>
      <c r="D636" s="0" t="str">
        <f aca="false">IF(C636=1,E636,IF(P636=1,$E$2003+Q636,""))</f>
        <v/>
      </c>
      <c r="E636" s="0" t="n">
        <f aca="false">E635+C636</f>
        <v>0</v>
      </c>
      <c r="P636" s="0" t="n">
        <f aca="false">IF(AND(Comments!B634='Policy card'!$C$3,Comments!N634="Closed"),1,0)</f>
        <v>0</v>
      </c>
      <c r="Q636" s="0" t="n">
        <f aca="false">Q635+P636</f>
        <v>7</v>
      </c>
    </row>
    <row r="637" customFormat="false" ht="15" hidden="false" customHeight="false" outlineLevel="0" collapsed="false">
      <c r="C637" s="0" t="n">
        <f aca="false">IF(AND(Comments!B635='Policy card'!$C$3,Comments!N635="Open"),1,0)</f>
        <v>0</v>
      </c>
      <c r="D637" s="0" t="str">
        <f aca="false">IF(C637=1,E637,IF(P637=1,$E$2003+Q637,""))</f>
        <v/>
      </c>
      <c r="E637" s="0" t="n">
        <f aca="false">E636+C637</f>
        <v>0</v>
      </c>
      <c r="P637" s="0" t="n">
        <f aca="false">IF(AND(Comments!B635='Policy card'!$C$3,Comments!N635="Closed"),1,0)</f>
        <v>0</v>
      </c>
      <c r="Q637" s="0" t="n">
        <f aca="false">Q636+P637</f>
        <v>7</v>
      </c>
    </row>
    <row r="638" customFormat="false" ht="15" hidden="false" customHeight="false" outlineLevel="0" collapsed="false">
      <c r="C638" s="0" t="n">
        <f aca="false">IF(AND(Comments!B636='Policy card'!$C$3,Comments!N636="Open"),1,0)</f>
        <v>0</v>
      </c>
      <c r="D638" s="0" t="str">
        <f aca="false">IF(C638=1,E638,IF(P638=1,$E$2003+Q638,""))</f>
        <v/>
      </c>
      <c r="E638" s="0" t="n">
        <f aca="false">E637+C638</f>
        <v>0</v>
      </c>
      <c r="P638" s="0" t="n">
        <f aca="false">IF(AND(Comments!B636='Policy card'!$C$3,Comments!N636="Closed"),1,0)</f>
        <v>0</v>
      </c>
      <c r="Q638" s="0" t="n">
        <f aca="false">Q637+P638</f>
        <v>7</v>
      </c>
    </row>
    <row r="639" customFormat="false" ht="15" hidden="false" customHeight="false" outlineLevel="0" collapsed="false">
      <c r="C639" s="0" t="n">
        <f aca="false">IF(AND(Comments!B637='Policy card'!$C$3,Comments!N637="Open"),1,0)</f>
        <v>0</v>
      </c>
      <c r="D639" s="0" t="str">
        <f aca="false">IF(C639=1,E639,IF(P639=1,$E$2003+Q639,""))</f>
        <v/>
      </c>
      <c r="E639" s="0" t="n">
        <f aca="false">E638+C639</f>
        <v>0</v>
      </c>
      <c r="P639" s="0" t="n">
        <f aca="false">IF(AND(Comments!B637='Policy card'!$C$3,Comments!N637="Closed"),1,0)</f>
        <v>0</v>
      </c>
      <c r="Q639" s="0" t="n">
        <f aca="false">Q638+P639</f>
        <v>7</v>
      </c>
    </row>
    <row r="640" customFormat="false" ht="15" hidden="false" customHeight="false" outlineLevel="0" collapsed="false">
      <c r="C640" s="0" t="n">
        <f aca="false">IF(AND(Comments!B638='Policy card'!$C$3,Comments!N638="Open"),1,0)</f>
        <v>0</v>
      </c>
      <c r="D640" s="0" t="str">
        <f aca="false">IF(C640=1,E640,IF(P640=1,$E$2003+Q640,""))</f>
        <v/>
      </c>
      <c r="E640" s="0" t="n">
        <f aca="false">E639+C640</f>
        <v>0</v>
      </c>
      <c r="P640" s="0" t="n">
        <f aca="false">IF(AND(Comments!B638='Policy card'!$C$3,Comments!N638="Closed"),1,0)</f>
        <v>0</v>
      </c>
      <c r="Q640" s="0" t="n">
        <f aca="false">Q639+P640</f>
        <v>7</v>
      </c>
    </row>
    <row r="641" customFormat="false" ht="15" hidden="false" customHeight="false" outlineLevel="0" collapsed="false">
      <c r="C641" s="0" t="n">
        <f aca="false">IF(AND(Comments!B639='Policy card'!$C$3,Comments!N639="Open"),1,0)</f>
        <v>0</v>
      </c>
      <c r="D641" s="0" t="str">
        <f aca="false">IF(C641=1,E641,IF(P641=1,$E$2003+Q641,""))</f>
        <v/>
      </c>
      <c r="E641" s="0" t="n">
        <f aca="false">E640+C641</f>
        <v>0</v>
      </c>
      <c r="P641" s="0" t="n">
        <f aca="false">IF(AND(Comments!B639='Policy card'!$C$3,Comments!N639="Closed"),1,0)</f>
        <v>0</v>
      </c>
      <c r="Q641" s="0" t="n">
        <f aca="false">Q640+P641</f>
        <v>7</v>
      </c>
    </row>
    <row r="642" customFormat="false" ht="15" hidden="false" customHeight="false" outlineLevel="0" collapsed="false">
      <c r="C642" s="0" t="n">
        <f aca="false">IF(AND(Comments!B640='Policy card'!$C$3,Comments!N640="Open"),1,0)</f>
        <v>0</v>
      </c>
      <c r="D642" s="0" t="str">
        <f aca="false">IF(C642=1,E642,IF(P642=1,$E$2003+Q642,""))</f>
        <v/>
      </c>
      <c r="E642" s="0" t="n">
        <f aca="false">E641+C642</f>
        <v>0</v>
      </c>
      <c r="P642" s="0" t="n">
        <f aca="false">IF(AND(Comments!B640='Policy card'!$C$3,Comments!N640="Closed"),1,0)</f>
        <v>0</v>
      </c>
      <c r="Q642" s="0" t="n">
        <f aca="false">Q641+P642</f>
        <v>7</v>
      </c>
    </row>
    <row r="643" customFormat="false" ht="15" hidden="false" customHeight="false" outlineLevel="0" collapsed="false">
      <c r="C643" s="0" t="n">
        <f aca="false">IF(AND(Comments!B641='Policy card'!$C$3,Comments!N641="Open"),1,0)</f>
        <v>0</v>
      </c>
      <c r="D643" s="0" t="str">
        <f aca="false">IF(C643=1,E643,IF(P643=1,$E$2003+Q643,""))</f>
        <v/>
      </c>
      <c r="E643" s="0" t="n">
        <f aca="false">E642+C643</f>
        <v>0</v>
      </c>
      <c r="P643" s="0" t="n">
        <f aca="false">IF(AND(Comments!B641='Policy card'!$C$3,Comments!N641="Closed"),1,0)</f>
        <v>0</v>
      </c>
      <c r="Q643" s="0" t="n">
        <f aca="false">Q642+P643</f>
        <v>7</v>
      </c>
    </row>
    <row r="644" customFormat="false" ht="15" hidden="false" customHeight="false" outlineLevel="0" collapsed="false">
      <c r="C644" s="0" t="n">
        <f aca="false">IF(AND(Comments!B642='Policy card'!$C$3,Comments!N642="Open"),1,0)</f>
        <v>0</v>
      </c>
      <c r="D644" s="0" t="str">
        <f aca="false">IF(C644=1,E644,IF(P644=1,$E$2003+Q644,""))</f>
        <v/>
      </c>
      <c r="E644" s="0" t="n">
        <f aca="false">E643+C644</f>
        <v>0</v>
      </c>
      <c r="P644" s="0" t="n">
        <f aca="false">IF(AND(Comments!B642='Policy card'!$C$3,Comments!N642="Closed"),1,0)</f>
        <v>0</v>
      </c>
      <c r="Q644" s="0" t="n">
        <f aca="false">Q643+P644</f>
        <v>7</v>
      </c>
    </row>
    <row r="645" customFormat="false" ht="15" hidden="false" customHeight="false" outlineLevel="0" collapsed="false">
      <c r="C645" s="0" t="n">
        <f aca="false">IF(AND(Comments!B643='Policy card'!$C$3,Comments!N643="Open"),1,0)</f>
        <v>0</v>
      </c>
      <c r="D645" s="0" t="str">
        <f aca="false">IF(C645=1,E645,IF(P645=1,$E$2003+Q645,""))</f>
        <v/>
      </c>
      <c r="E645" s="0" t="n">
        <f aca="false">E644+C645</f>
        <v>0</v>
      </c>
      <c r="P645" s="0" t="n">
        <f aca="false">IF(AND(Comments!B643='Policy card'!$C$3,Comments!N643="Closed"),1,0)</f>
        <v>0</v>
      </c>
      <c r="Q645" s="0" t="n">
        <f aca="false">Q644+P645</f>
        <v>7</v>
      </c>
    </row>
    <row r="646" customFormat="false" ht="15" hidden="false" customHeight="false" outlineLevel="0" collapsed="false">
      <c r="C646" s="0" t="n">
        <f aca="false">IF(AND(Comments!B644='Policy card'!$C$3,Comments!N644="Open"),1,0)</f>
        <v>0</v>
      </c>
      <c r="D646" s="0" t="str">
        <f aca="false">IF(C646=1,E646,IF(P646=1,$E$2003+Q646,""))</f>
        <v/>
      </c>
      <c r="E646" s="0" t="n">
        <f aca="false">E645+C646</f>
        <v>0</v>
      </c>
      <c r="P646" s="0" t="n">
        <f aca="false">IF(AND(Comments!B644='Policy card'!$C$3,Comments!N644="Closed"),1,0)</f>
        <v>0</v>
      </c>
      <c r="Q646" s="0" t="n">
        <f aca="false">Q645+P646</f>
        <v>7</v>
      </c>
    </row>
    <row r="647" customFormat="false" ht="15" hidden="false" customHeight="false" outlineLevel="0" collapsed="false">
      <c r="C647" s="0" t="n">
        <f aca="false">IF(AND(Comments!B645='Policy card'!$C$3,Comments!N645="Open"),1,0)</f>
        <v>0</v>
      </c>
      <c r="D647" s="0" t="str">
        <f aca="false">IF(C647=1,E647,IF(P647=1,$E$2003+Q647,""))</f>
        <v/>
      </c>
      <c r="E647" s="0" t="n">
        <f aca="false">E646+C647</f>
        <v>0</v>
      </c>
      <c r="P647" s="0" t="n">
        <f aca="false">IF(AND(Comments!B645='Policy card'!$C$3,Comments!N645="Closed"),1,0)</f>
        <v>0</v>
      </c>
      <c r="Q647" s="0" t="n">
        <f aca="false">Q646+P647</f>
        <v>7</v>
      </c>
    </row>
    <row r="648" customFormat="false" ht="15" hidden="false" customHeight="false" outlineLevel="0" collapsed="false">
      <c r="C648" s="0" t="n">
        <f aca="false">IF(AND(Comments!B646='Policy card'!$C$3,Comments!N646="Open"),1,0)</f>
        <v>0</v>
      </c>
      <c r="D648" s="0" t="str">
        <f aca="false">IF(C648=1,E648,IF(P648=1,$E$2003+Q648,""))</f>
        <v/>
      </c>
      <c r="E648" s="0" t="n">
        <f aca="false">E647+C648</f>
        <v>0</v>
      </c>
      <c r="P648" s="0" t="n">
        <f aca="false">IF(AND(Comments!B646='Policy card'!$C$3,Comments!N646="Closed"),1,0)</f>
        <v>0</v>
      </c>
      <c r="Q648" s="0" t="n">
        <f aca="false">Q647+P648</f>
        <v>7</v>
      </c>
    </row>
    <row r="649" customFormat="false" ht="15" hidden="false" customHeight="false" outlineLevel="0" collapsed="false">
      <c r="C649" s="0" t="n">
        <f aca="false">IF(AND(Comments!B647='Policy card'!$C$3,Comments!N647="Open"),1,0)</f>
        <v>0</v>
      </c>
      <c r="D649" s="0" t="str">
        <f aca="false">IF(C649=1,E649,IF(P649=1,$E$2003+Q649,""))</f>
        <v/>
      </c>
      <c r="E649" s="0" t="n">
        <f aca="false">E648+C649</f>
        <v>0</v>
      </c>
      <c r="P649" s="0" t="n">
        <f aca="false">IF(AND(Comments!B647='Policy card'!$C$3,Comments!N647="Closed"),1,0)</f>
        <v>0</v>
      </c>
      <c r="Q649" s="0" t="n">
        <f aca="false">Q648+P649</f>
        <v>7</v>
      </c>
    </row>
    <row r="650" customFormat="false" ht="15" hidden="false" customHeight="false" outlineLevel="0" collapsed="false">
      <c r="C650" s="0" t="n">
        <f aca="false">IF(AND(Comments!B648='Policy card'!$C$3,Comments!N648="Open"),1,0)</f>
        <v>0</v>
      </c>
      <c r="D650" s="0" t="str">
        <f aca="false">IF(C650=1,E650,IF(P650=1,$E$2003+Q650,""))</f>
        <v/>
      </c>
      <c r="E650" s="0" t="n">
        <f aca="false">E649+C650</f>
        <v>0</v>
      </c>
      <c r="P650" s="0" t="n">
        <f aca="false">IF(AND(Comments!B648='Policy card'!$C$3,Comments!N648="Closed"),1,0)</f>
        <v>0</v>
      </c>
      <c r="Q650" s="0" t="n">
        <f aca="false">Q649+P650</f>
        <v>7</v>
      </c>
    </row>
    <row r="651" customFormat="false" ht="15" hidden="false" customHeight="false" outlineLevel="0" collapsed="false">
      <c r="C651" s="0" t="n">
        <f aca="false">IF(AND(Comments!B649='Policy card'!$C$3,Comments!N649="Open"),1,0)</f>
        <v>0</v>
      </c>
      <c r="D651" s="0" t="str">
        <f aca="false">IF(C651=1,E651,IF(P651=1,$E$2003+Q651,""))</f>
        <v/>
      </c>
      <c r="E651" s="0" t="n">
        <f aca="false">E650+C651</f>
        <v>0</v>
      </c>
      <c r="P651" s="0" t="n">
        <f aca="false">IF(AND(Comments!B649='Policy card'!$C$3,Comments!N649="Closed"),1,0)</f>
        <v>0</v>
      </c>
      <c r="Q651" s="0" t="n">
        <f aca="false">Q650+P651</f>
        <v>7</v>
      </c>
    </row>
    <row r="652" customFormat="false" ht="15" hidden="false" customHeight="false" outlineLevel="0" collapsed="false">
      <c r="C652" s="0" t="n">
        <f aca="false">IF(AND(Comments!B650='Policy card'!$C$3,Comments!N650="Open"),1,0)</f>
        <v>0</v>
      </c>
      <c r="D652" s="0" t="str">
        <f aca="false">IF(C652=1,E652,IF(P652=1,$E$2003+Q652,""))</f>
        <v/>
      </c>
      <c r="E652" s="0" t="n">
        <f aca="false">E651+C652</f>
        <v>0</v>
      </c>
      <c r="P652" s="0" t="n">
        <f aca="false">IF(AND(Comments!B650='Policy card'!$C$3,Comments!N650="Closed"),1,0)</f>
        <v>0</v>
      </c>
      <c r="Q652" s="0" t="n">
        <f aca="false">Q651+P652</f>
        <v>7</v>
      </c>
    </row>
    <row r="653" customFormat="false" ht="15" hidden="false" customHeight="false" outlineLevel="0" collapsed="false">
      <c r="C653" s="0" t="n">
        <f aca="false">IF(AND(Comments!B651='Policy card'!$C$3,Comments!N651="Open"),1,0)</f>
        <v>0</v>
      </c>
      <c r="D653" s="0" t="str">
        <f aca="false">IF(C653=1,E653,IF(P653=1,$E$2003+Q653,""))</f>
        <v/>
      </c>
      <c r="E653" s="0" t="n">
        <f aca="false">E652+C653</f>
        <v>0</v>
      </c>
      <c r="P653" s="0" t="n">
        <f aca="false">IF(AND(Comments!B651='Policy card'!$C$3,Comments!N651="Closed"),1,0)</f>
        <v>0</v>
      </c>
      <c r="Q653" s="0" t="n">
        <f aca="false">Q652+P653</f>
        <v>7</v>
      </c>
    </row>
    <row r="654" customFormat="false" ht="15" hidden="false" customHeight="false" outlineLevel="0" collapsed="false">
      <c r="C654" s="0" t="n">
        <f aca="false">IF(AND(Comments!B652='Policy card'!$C$3,Comments!N652="Open"),1,0)</f>
        <v>0</v>
      </c>
      <c r="D654" s="0" t="str">
        <f aca="false">IF(C654=1,E654,IF(P654=1,$E$2003+Q654,""))</f>
        <v/>
      </c>
      <c r="E654" s="0" t="n">
        <f aca="false">E653+C654</f>
        <v>0</v>
      </c>
      <c r="P654" s="0" t="n">
        <f aca="false">IF(AND(Comments!B652='Policy card'!$C$3,Comments!N652="Closed"),1,0)</f>
        <v>0</v>
      </c>
      <c r="Q654" s="0" t="n">
        <f aca="false">Q653+P654</f>
        <v>7</v>
      </c>
    </row>
    <row r="655" customFormat="false" ht="15" hidden="false" customHeight="false" outlineLevel="0" collapsed="false">
      <c r="C655" s="0" t="n">
        <f aca="false">IF(AND(Comments!B653='Policy card'!$C$3,Comments!N653="Open"),1,0)</f>
        <v>0</v>
      </c>
      <c r="D655" s="0" t="str">
        <f aca="false">IF(C655=1,E655,IF(P655=1,$E$2003+Q655,""))</f>
        <v/>
      </c>
      <c r="E655" s="0" t="n">
        <f aca="false">E654+C655</f>
        <v>0</v>
      </c>
      <c r="P655" s="0" t="n">
        <f aca="false">IF(AND(Comments!B653='Policy card'!$C$3,Comments!N653="Closed"),1,0)</f>
        <v>0</v>
      </c>
      <c r="Q655" s="0" t="n">
        <f aca="false">Q654+P655</f>
        <v>7</v>
      </c>
    </row>
    <row r="656" customFormat="false" ht="15" hidden="false" customHeight="false" outlineLevel="0" collapsed="false">
      <c r="C656" s="0" t="n">
        <f aca="false">IF(AND(Comments!B654='Policy card'!$C$3,Comments!N654="Open"),1,0)</f>
        <v>0</v>
      </c>
      <c r="D656" s="0" t="str">
        <f aca="false">IF(C656=1,E656,IF(P656=1,$E$2003+Q656,""))</f>
        <v/>
      </c>
      <c r="E656" s="0" t="n">
        <f aca="false">E655+C656</f>
        <v>0</v>
      </c>
      <c r="P656" s="0" t="n">
        <f aca="false">IF(AND(Comments!B654='Policy card'!$C$3,Comments!N654="Closed"),1,0)</f>
        <v>0</v>
      </c>
      <c r="Q656" s="0" t="n">
        <f aca="false">Q655+P656</f>
        <v>7</v>
      </c>
    </row>
    <row r="657" customFormat="false" ht="15" hidden="false" customHeight="false" outlineLevel="0" collapsed="false">
      <c r="C657" s="0" t="n">
        <f aca="false">IF(AND(Comments!B655='Policy card'!$C$3,Comments!N655="Open"),1,0)</f>
        <v>0</v>
      </c>
      <c r="D657" s="0" t="str">
        <f aca="false">IF(C657=1,E657,IF(P657=1,$E$2003+Q657,""))</f>
        <v/>
      </c>
      <c r="E657" s="0" t="n">
        <f aca="false">E656+C657</f>
        <v>0</v>
      </c>
      <c r="P657" s="0" t="n">
        <f aca="false">IF(AND(Comments!B655='Policy card'!$C$3,Comments!N655="Closed"),1,0)</f>
        <v>0</v>
      </c>
      <c r="Q657" s="0" t="n">
        <f aca="false">Q656+P657</f>
        <v>7</v>
      </c>
    </row>
    <row r="658" customFormat="false" ht="15" hidden="false" customHeight="false" outlineLevel="0" collapsed="false">
      <c r="C658" s="0" t="n">
        <f aca="false">IF(AND(Comments!B656='Policy card'!$C$3,Comments!N656="Open"),1,0)</f>
        <v>0</v>
      </c>
      <c r="D658" s="0" t="str">
        <f aca="false">IF(C658=1,E658,IF(P658=1,$E$2003+Q658,""))</f>
        <v/>
      </c>
      <c r="E658" s="0" t="n">
        <f aca="false">E657+C658</f>
        <v>0</v>
      </c>
      <c r="P658" s="0" t="n">
        <f aca="false">IF(AND(Comments!B656='Policy card'!$C$3,Comments!N656="Closed"),1,0)</f>
        <v>0</v>
      </c>
      <c r="Q658" s="0" t="n">
        <f aca="false">Q657+P658</f>
        <v>7</v>
      </c>
    </row>
    <row r="659" customFormat="false" ht="15" hidden="false" customHeight="false" outlineLevel="0" collapsed="false">
      <c r="C659" s="0" t="n">
        <f aca="false">IF(AND(Comments!B657='Policy card'!$C$3,Comments!N657="Open"),1,0)</f>
        <v>0</v>
      </c>
      <c r="D659" s="0" t="str">
        <f aca="false">IF(C659=1,E659,IF(P659=1,$E$2003+Q659,""))</f>
        <v/>
      </c>
      <c r="E659" s="0" t="n">
        <f aca="false">E658+C659</f>
        <v>0</v>
      </c>
      <c r="P659" s="0" t="n">
        <f aca="false">IF(AND(Comments!B657='Policy card'!$C$3,Comments!N657="Closed"),1,0)</f>
        <v>0</v>
      </c>
      <c r="Q659" s="0" t="n">
        <f aca="false">Q658+P659</f>
        <v>7</v>
      </c>
    </row>
    <row r="660" customFormat="false" ht="15" hidden="false" customHeight="false" outlineLevel="0" collapsed="false">
      <c r="C660" s="0" t="n">
        <f aca="false">IF(AND(Comments!B658='Policy card'!$C$3,Comments!N658="Open"),1,0)</f>
        <v>0</v>
      </c>
      <c r="D660" s="0" t="str">
        <f aca="false">IF(C660=1,E660,IF(P660=1,$E$2003+Q660,""))</f>
        <v/>
      </c>
      <c r="E660" s="0" t="n">
        <f aca="false">E659+C660</f>
        <v>0</v>
      </c>
      <c r="P660" s="0" t="n">
        <f aca="false">IF(AND(Comments!B658='Policy card'!$C$3,Comments!N658="Closed"),1,0)</f>
        <v>0</v>
      </c>
      <c r="Q660" s="0" t="n">
        <f aca="false">Q659+P660</f>
        <v>7</v>
      </c>
    </row>
    <row r="661" customFormat="false" ht="15" hidden="false" customHeight="false" outlineLevel="0" collapsed="false">
      <c r="C661" s="0" t="n">
        <f aca="false">IF(AND(Comments!B659='Policy card'!$C$3,Comments!N659="Open"),1,0)</f>
        <v>0</v>
      </c>
      <c r="D661" s="0" t="str">
        <f aca="false">IF(C661=1,E661,IF(P661=1,$E$2003+Q661,""))</f>
        <v/>
      </c>
      <c r="E661" s="0" t="n">
        <f aca="false">E660+C661</f>
        <v>0</v>
      </c>
      <c r="P661" s="0" t="n">
        <f aca="false">IF(AND(Comments!B659='Policy card'!$C$3,Comments!N659="Closed"),1,0)</f>
        <v>0</v>
      </c>
      <c r="Q661" s="0" t="n">
        <f aca="false">Q660+P661</f>
        <v>7</v>
      </c>
    </row>
    <row r="662" customFormat="false" ht="15" hidden="false" customHeight="false" outlineLevel="0" collapsed="false">
      <c r="C662" s="0" t="n">
        <f aca="false">IF(AND(Comments!B660='Policy card'!$C$3,Comments!N660="Open"),1,0)</f>
        <v>0</v>
      </c>
      <c r="D662" s="0" t="str">
        <f aca="false">IF(C662=1,E662,IF(P662=1,$E$2003+Q662,""))</f>
        <v/>
      </c>
      <c r="E662" s="0" t="n">
        <f aca="false">E661+C662</f>
        <v>0</v>
      </c>
      <c r="P662" s="0" t="n">
        <f aca="false">IF(AND(Comments!B660='Policy card'!$C$3,Comments!N660="Closed"),1,0)</f>
        <v>0</v>
      </c>
      <c r="Q662" s="0" t="n">
        <f aca="false">Q661+P662</f>
        <v>7</v>
      </c>
    </row>
    <row r="663" customFormat="false" ht="15" hidden="false" customHeight="false" outlineLevel="0" collapsed="false">
      <c r="C663" s="0" t="n">
        <f aca="false">IF(AND(Comments!B661='Policy card'!$C$3,Comments!N661="Open"),1,0)</f>
        <v>0</v>
      </c>
      <c r="D663" s="0" t="str">
        <f aca="false">IF(C663=1,E663,IF(P663=1,$E$2003+Q663,""))</f>
        <v/>
      </c>
      <c r="E663" s="0" t="n">
        <f aca="false">E662+C663</f>
        <v>0</v>
      </c>
      <c r="P663" s="0" t="n">
        <f aca="false">IF(AND(Comments!B661='Policy card'!$C$3,Comments!N661="Closed"),1,0)</f>
        <v>0</v>
      </c>
      <c r="Q663" s="0" t="n">
        <f aca="false">Q662+P663</f>
        <v>7</v>
      </c>
    </row>
    <row r="664" customFormat="false" ht="15" hidden="false" customHeight="false" outlineLevel="0" collapsed="false">
      <c r="C664" s="0" t="n">
        <f aca="false">IF(AND(Comments!B662='Policy card'!$C$3,Comments!N662="Open"),1,0)</f>
        <v>0</v>
      </c>
      <c r="D664" s="0" t="str">
        <f aca="false">IF(C664=1,E664,IF(P664=1,$E$2003+Q664,""))</f>
        <v/>
      </c>
      <c r="E664" s="0" t="n">
        <f aca="false">E663+C664</f>
        <v>0</v>
      </c>
      <c r="P664" s="0" t="n">
        <f aca="false">IF(AND(Comments!B662='Policy card'!$C$3,Comments!N662="Closed"),1,0)</f>
        <v>0</v>
      </c>
      <c r="Q664" s="0" t="n">
        <f aca="false">Q663+P664</f>
        <v>7</v>
      </c>
    </row>
    <row r="665" customFormat="false" ht="15" hidden="false" customHeight="false" outlineLevel="0" collapsed="false">
      <c r="C665" s="0" t="n">
        <f aca="false">IF(AND(Comments!B663='Policy card'!$C$3,Comments!N663="Open"),1,0)</f>
        <v>0</v>
      </c>
      <c r="D665" s="0" t="str">
        <f aca="false">IF(C665=1,E665,IF(P665=1,$E$2003+Q665,""))</f>
        <v/>
      </c>
      <c r="E665" s="0" t="n">
        <f aca="false">E664+C665</f>
        <v>0</v>
      </c>
      <c r="P665" s="0" t="n">
        <f aca="false">IF(AND(Comments!B663='Policy card'!$C$3,Comments!N663="Closed"),1,0)</f>
        <v>0</v>
      </c>
      <c r="Q665" s="0" t="n">
        <f aca="false">Q664+P665</f>
        <v>7</v>
      </c>
    </row>
    <row r="666" customFormat="false" ht="15" hidden="false" customHeight="false" outlineLevel="0" collapsed="false">
      <c r="C666" s="0" t="n">
        <f aca="false">IF(AND(Comments!B664='Policy card'!$C$3,Comments!N664="Open"),1,0)</f>
        <v>0</v>
      </c>
      <c r="D666" s="0" t="str">
        <f aca="false">IF(C666=1,E666,IF(P666=1,$E$2003+Q666,""))</f>
        <v/>
      </c>
      <c r="E666" s="0" t="n">
        <f aca="false">E665+C666</f>
        <v>0</v>
      </c>
      <c r="P666" s="0" t="n">
        <f aca="false">IF(AND(Comments!B664='Policy card'!$C$3,Comments!N664="Closed"),1,0)</f>
        <v>0</v>
      </c>
      <c r="Q666" s="0" t="n">
        <f aca="false">Q665+P666</f>
        <v>7</v>
      </c>
    </row>
    <row r="667" customFormat="false" ht="15" hidden="false" customHeight="false" outlineLevel="0" collapsed="false">
      <c r="C667" s="0" t="n">
        <f aca="false">IF(AND(Comments!B665='Policy card'!$C$3,Comments!N665="Open"),1,0)</f>
        <v>0</v>
      </c>
      <c r="D667" s="0" t="str">
        <f aca="false">IF(C667=1,E667,IF(P667=1,$E$2003+Q667,""))</f>
        <v/>
      </c>
      <c r="E667" s="0" t="n">
        <f aca="false">E666+C667</f>
        <v>0</v>
      </c>
      <c r="P667" s="0" t="n">
        <f aca="false">IF(AND(Comments!B665='Policy card'!$C$3,Comments!N665="Closed"),1,0)</f>
        <v>0</v>
      </c>
      <c r="Q667" s="0" t="n">
        <f aca="false">Q666+P667</f>
        <v>7</v>
      </c>
    </row>
    <row r="668" customFormat="false" ht="15" hidden="false" customHeight="false" outlineLevel="0" collapsed="false">
      <c r="C668" s="0" t="n">
        <f aca="false">IF(AND(Comments!B666='Policy card'!$C$3,Comments!N666="Open"),1,0)</f>
        <v>0</v>
      </c>
      <c r="D668" s="0" t="str">
        <f aca="false">IF(C668=1,E668,IF(P668=1,$E$2003+Q668,""))</f>
        <v/>
      </c>
      <c r="E668" s="0" t="n">
        <f aca="false">E667+C668</f>
        <v>0</v>
      </c>
      <c r="P668" s="0" t="n">
        <f aca="false">IF(AND(Comments!B666='Policy card'!$C$3,Comments!N666="Closed"),1,0)</f>
        <v>0</v>
      </c>
      <c r="Q668" s="0" t="n">
        <f aca="false">Q667+P668</f>
        <v>7</v>
      </c>
    </row>
    <row r="669" customFormat="false" ht="15" hidden="false" customHeight="false" outlineLevel="0" collapsed="false">
      <c r="C669" s="0" t="n">
        <f aca="false">IF(AND(Comments!B667='Policy card'!$C$3,Comments!N667="Open"),1,0)</f>
        <v>0</v>
      </c>
      <c r="D669" s="0" t="str">
        <f aca="false">IF(C669=1,E669,IF(P669=1,$E$2003+Q669,""))</f>
        <v/>
      </c>
      <c r="E669" s="0" t="n">
        <f aca="false">E668+C669</f>
        <v>0</v>
      </c>
      <c r="P669" s="0" t="n">
        <f aca="false">IF(AND(Comments!B667='Policy card'!$C$3,Comments!N667="Closed"),1,0)</f>
        <v>0</v>
      </c>
      <c r="Q669" s="0" t="n">
        <f aca="false">Q668+P669</f>
        <v>7</v>
      </c>
    </row>
    <row r="670" customFormat="false" ht="15" hidden="false" customHeight="false" outlineLevel="0" collapsed="false">
      <c r="C670" s="0" t="n">
        <f aca="false">IF(AND(Comments!B668='Policy card'!$C$3,Comments!N668="Open"),1,0)</f>
        <v>0</v>
      </c>
      <c r="D670" s="0" t="str">
        <f aca="false">IF(C670=1,E670,IF(P670=1,$E$2003+Q670,""))</f>
        <v/>
      </c>
      <c r="E670" s="0" t="n">
        <f aca="false">E669+C670</f>
        <v>0</v>
      </c>
      <c r="P670" s="0" t="n">
        <f aca="false">IF(AND(Comments!B668='Policy card'!$C$3,Comments!N668="Closed"),1,0)</f>
        <v>0</v>
      </c>
      <c r="Q670" s="0" t="n">
        <f aca="false">Q669+P670</f>
        <v>7</v>
      </c>
    </row>
    <row r="671" customFormat="false" ht="15" hidden="false" customHeight="false" outlineLevel="0" collapsed="false">
      <c r="C671" s="0" t="n">
        <f aca="false">IF(AND(Comments!B669='Policy card'!$C$3,Comments!N669="Open"),1,0)</f>
        <v>0</v>
      </c>
      <c r="D671" s="0" t="str">
        <f aca="false">IF(C671=1,E671,IF(P671=1,$E$2003+Q671,""))</f>
        <v/>
      </c>
      <c r="E671" s="0" t="n">
        <f aca="false">E670+C671</f>
        <v>0</v>
      </c>
      <c r="P671" s="0" t="n">
        <f aca="false">IF(AND(Comments!B669='Policy card'!$C$3,Comments!N669="Closed"),1,0)</f>
        <v>0</v>
      </c>
      <c r="Q671" s="0" t="n">
        <f aca="false">Q670+P671</f>
        <v>7</v>
      </c>
    </row>
    <row r="672" customFormat="false" ht="15" hidden="false" customHeight="false" outlineLevel="0" collapsed="false">
      <c r="C672" s="0" t="n">
        <f aca="false">IF(AND(Comments!B670='Policy card'!$C$3,Comments!N670="Open"),1,0)</f>
        <v>0</v>
      </c>
      <c r="D672" s="0" t="str">
        <f aca="false">IF(C672=1,E672,IF(P672=1,$E$2003+Q672,""))</f>
        <v/>
      </c>
      <c r="E672" s="0" t="n">
        <f aca="false">E671+C672</f>
        <v>0</v>
      </c>
      <c r="P672" s="0" t="n">
        <f aca="false">IF(AND(Comments!B670='Policy card'!$C$3,Comments!N670="Closed"),1,0)</f>
        <v>0</v>
      </c>
      <c r="Q672" s="0" t="n">
        <f aca="false">Q671+P672</f>
        <v>7</v>
      </c>
    </row>
    <row r="673" customFormat="false" ht="15" hidden="false" customHeight="false" outlineLevel="0" collapsed="false">
      <c r="C673" s="0" t="n">
        <f aca="false">IF(AND(Comments!B671='Policy card'!$C$3,Comments!N671="Open"),1,0)</f>
        <v>0</v>
      </c>
      <c r="D673" s="0" t="str">
        <f aca="false">IF(C673=1,E673,IF(P673=1,$E$2003+Q673,""))</f>
        <v/>
      </c>
      <c r="E673" s="0" t="n">
        <f aca="false">E672+C673</f>
        <v>0</v>
      </c>
      <c r="P673" s="0" t="n">
        <f aca="false">IF(AND(Comments!B671='Policy card'!$C$3,Comments!N671="Closed"),1,0)</f>
        <v>0</v>
      </c>
      <c r="Q673" s="0" t="n">
        <f aca="false">Q672+P673</f>
        <v>7</v>
      </c>
    </row>
    <row r="674" customFormat="false" ht="15" hidden="false" customHeight="false" outlineLevel="0" collapsed="false">
      <c r="C674" s="0" t="n">
        <f aca="false">IF(AND(Comments!B672='Policy card'!$C$3,Comments!N672="Open"),1,0)</f>
        <v>0</v>
      </c>
      <c r="D674" s="0" t="str">
        <f aca="false">IF(C674=1,E674,IF(P674=1,$E$2003+Q674,""))</f>
        <v/>
      </c>
      <c r="E674" s="0" t="n">
        <f aca="false">E673+C674</f>
        <v>0</v>
      </c>
      <c r="P674" s="0" t="n">
        <f aca="false">IF(AND(Comments!B672='Policy card'!$C$3,Comments!N672="Closed"),1,0)</f>
        <v>0</v>
      </c>
      <c r="Q674" s="0" t="n">
        <f aca="false">Q673+P674</f>
        <v>7</v>
      </c>
    </row>
    <row r="675" customFormat="false" ht="15" hidden="false" customHeight="false" outlineLevel="0" collapsed="false">
      <c r="C675" s="0" t="n">
        <f aca="false">IF(AND(Comments!B673='Policy card'!$C$3,Comments!N673="Open"),1,0)</f>
        <v>0</v>
      </c>
      <c r="D675" s="0" t="str">
        <f aca="false">IF(C675=1,E675,IF(P675=1,$E$2003+Q675,""))</f>
        <v/>
      </c>
      <c r="E675" s="0" t="n">
        <f aca="false">E674+C675</f>
        <v>0</v>
      </c>
      <c r="P675" s="0" t="n">
        <f aca="false">IF(AND(Comments!B673='Policy card'!$C$3,Comments!N673="Closed"),1,0)</f>
        <v>0</v>
      </c>
      <c r="Q675" s="0" t="n">
        <f aca="false">Q674+P675</f>
        <v>7</v>
      </c>
    </row>
    <row r="676" customFormat="false" ht="15" hidden="false" customHeight="false" outlineLevel="0" collapsed="false">
      <c r="C676" s="0" t="n">
        <f aca="false">IF(AND(Comments!B674='Policy card'!$C$3,Comments!N674="Open"),1,0)</f>
        <v>0</v>
      </c>
      <c r="D676" s="0" t="str">
        <f aca="false">IF(C676=1,E676,IF(P676=1,$E$2003+Q676,""))</f>
        <v/>
      </c>
      <c r="E676" s="0" t="n">
        <f aca="false">E675+C676</f>
        <v>0</v>
      </c>
      <c r="P676" s="0" t="n">
        <f aca="false">IF(AND(Comments!B674='Policy card'!$C$3,Comments!N674="Closed"),1,0)</f>
        <v>0</v>
      </c>
      <c r="Q676" s="0" t="n">
        <f aca="false">Q675+P676</f>
        <v>7</v>
      </c>
    </row>
    <row r="677" customFormat="false" ht="15" hidden="false" customHeight="false" outlineLevel="0" collapsed="false">
      <c r="C677" s="0" t="n">
        <f aca="false">IF(AND(Comments!B675='Policy card'!$C$3,Comments!N675="Open"),1,0)</f>
        <v>0</v>
      </c>
      <c r="D677" s="0" t="str">
        <f aca="false">IF(C677=1,E677,IF(P677=1,$E$2003+Q677,""))</f>
        <v/>
      </c>
      <c r="E677" s="0" t="n">
        <f aca="false">E676+C677</f>
        <v>0</v>
      </c>
      <c r="P677" s="0" t="n">
        <f aca="false">IF(AND(Comments!B675='Policy card'!$C$3,Comments!N675="Closed"),1,0)</f>
        <v>0</v>
      </c>
      <c r="Q677" s="0" t="n">
        <f aca="false">Q676+P677</f>
        <v>7</v>
      </c>
    </row>
    <row r="678" customFormat="false" ht="15" hidden="false" customHeight="false" outlineLevel="0" collapsed="false">
      <c r="C678" s="0" t="n">
        <f aca="false">IF(AND(Comments!B676='Policy card'!$C$3,Comments!N676="Open"),1,0)</f>
        <v>0</v>
      </c>
      <c r="D678" s="0" t="str">
        <f aca="false">IF(C678=1,E678,IF(P678=1,$E$2003+Q678,""))</f>
        <v/>
      </c>
      <c r="E678" s="0" t="n">
        <f aca="false">E677+C678</f>
        <v>0</v>
      </c>
      <c r="P678" s="0" t="n">
        <f aca="false">IF(AND(Comments!B676='Policy card'!$C$3,Comments!N676="Closed"),1,0)</f>
        <v>0</v>
      </c>
      <c r="Q678" s="0" t="n">
        <f aca="false">Q677+P678</f>
        <v>7</v>
      </c>
    </row>
    <row r="679" customFormat="false" ht="15" hidden="false" customHeight="false" outlineLevel="0" collapsed="false">
      <c r="C679" s="0" t="n">
        <f aca="false">IF(AND(Comments!B677='Policy card'!$C$3,Comments!N677="Open"),1,0)</f>
        <v>0</v>
      </c>
      <c r="D679" s="0" t="str">
        <f aca="false">IF(C679=1,E679,IF(P679=1,$E$2003+Q679,""))</f>
        <v/>
      </c>
      <c r="E679" s="0" t="n">
        <f aca="false">E678+C679</f>
        <v>0</v>
      </c>
      <c r="P679" s="0" t="n">
        <f aca="false">IF(AND(Comments!B677='Policy card'!$C$3,Comments!N677="Closed"),1,0)</f>
        <v>0</v>
      </c>
      <c r="Q679" s="0" t="n">
        <f aca="false">Q678+P679</f>
        <v>7</v>
      </c>
    </row>
    <row r="680" customFormat="false" ht="15" hidden="false" customHeight="false" outlineLevel="0" collapsed="false">
      <c r="C680" s="0" t="n">
        <f aca="false">IF(AND(Comments!B678='Policy card'!$C$3,Comments!N678="Open"),1,0)</f>
        <v>0</v>
      </c>
      <c r="D680" s="0" t="str">
        <f aca="false">IF(C680=1,E680,IF(P680=1,$E$2003+Q680,""))</f>
        <v/>
      </c>
      <c r="E680" s="0" t="n">
        <f aca="false">E679+C680</f>
        <v>0</v>
      </c>
      <c r="P680" s="0" t="n">
        <f aca="false">IF(AND(Comments!B678='Policy card'!$C$3,Comments!N678="Closed"),1,0)</f>
        <v>0</v>
      </c>
      <c r="Q680" s="0" t="n">
        <f aca="false">Q679+P680</f>
        <v>7</v>
      </c>
    </row>
    <row r="681" customFormat="false" ht="15" hidden="false" customHeight="false" outlineLevel="0" collapsed="false">
      <c r="C681" s="0" t="n">
        <f aca="false">IF(AND(Comments!B679='Policy card'!$C$3,Comments!N679="Open"),1,0)</f>
        <v>0</v>
      </c>
      <c r="D681" s="0" t="str">
        <f aca="false">IF(C681=1,E681,IF(P681=1,$E$2003+Q681,""))</f>
        <v/>
      </c>
      <c r="E681" s="0" t="n">
        <f aca="false">E680+C681</f>
        <v>0</v>
      </c>
      <c r="P681" s="0" t="n">
        <f aca="false">IF(AND(Comments!B679='Policy card'!$C$3,Comments!N679="Closed"),1,0)</f>
        <v>0</v>
      </c>
      <c r="Q681" s="0" t="n">
        <f aca="false">Q680+P681</f>
        <v>7</v>
      </c>
    </row>
    <row r="682" customFormat="false" ht="15" hidden="false" customHeight="false" outlineLevel="0" collapsed="false">
      <c r="C682" s="0" t="n">
        <f aca="false">IF(AND(Comments!B680='Policy card'!$C$3,Comments!N680="Open"),1,0)</f>
        <v>0</v>
      </c>
      <c r="D682" s="0" t="str">
        <f aca="false">IF(C682=1,E682,IF(P682=1,$E$2003+Q682,""))</f>
        <v/>
      </c>
      <c r="E682" s="0" t="n">
        <f aca="false">E681+C682</f>
        <v>0</v>
      </c>
      <c r="P682" s="0" t="n">
        <f aca="false">IF(AND(Comments!B680='Policy card'!$C$3,Comments!N680="Closed"),1,0)</f>
        <v>0</v>
      </c>
      <c r="Q682" s="0" t="n">
        <f aca="false">Q681+P682</f>
        <v>7</v>
      </c>
    </row>
    <row r="683" customFormat="false" ht="15" hidden="false" customHeight="false" outlineLevel="0" collapsed="false">
      <c r="C683" s="0" t="n">
        <f aca="false">IF(AND(Comments!B681='Policy card'!$C$3,Comments!N681="Open"),1,0)</f>
        <v>0</v>
      </c>
      <c r="D683" s="0" t="str">
        <f aca="false">IF(C683=1,E683,IF(P683=1,$E$2003+Q683,""))</f>
        <v/>
      </c>
      <c r="E683" s="0" t="n">
        <f aca="false">E682+C683</f>
        <v>0</v>
      </c>
      <c r="P683" s="0" t="n">
        <f aca="false">IF(AND(Comments!B681='Policy card'!$C$3,Comments!N681="Closed"),1,0)</f>
        <v>0</v>
      </c>
      <c r="Q683" s="0" t="n">
        <f aca="false">Q682+P683</f>
        <v>7</v>
      </c>
    </row>
    <row r="684" customFormat="false" ht="15" hidden="false" customHeight="false" outlineLevel="0" collapsed="false">
      <c r="C684" s="0" t="n">
        <f aca="false">IF(AND(Comments!B682='Policy card'!$C$3,Comments!N682="Open"),1,0)</f>
        <v>0</v>
      </c>
      <c r="D684" s="0" t="str">
        <f aca="false">IF(C684=1,E684,IF(P684=1,$E$2003+Q684,""))</f>
        <v/>
      </c>
      <c r="E684" s="0" t="n">
        <f aca="false">E683+C684</f>
        <v>0</v>
      </c>
      <c r="P684" s="0" t="n">
        <f aca="false">IF(AND(Comments!B682='Policy card'!$C$3,Comments!N682="Closed"),1,0)</f>
        <v>0</v>
      </c>
      <c r="Q684" s="0" t="n">
        <f aca="false">Q683+P684</f>
        <v>7</v>
      </c>
    </row>
    <row r="685" customFormat="false" ht="15" hidden="false" customHeight="false" outlineLevel="0" collapsed="false">
      <c r="C685" s="0" t="n">
        <f aca="false">IF(AND(Comments!B683='Policy card'!$C$3,Comments!N683="Open"),1,0)</f>
        <v>0</v>
      </c>
      <c r="D685" s="0" t="str">
        <f aca="false">IF(C685=1,E685,IF(P685=1,$E$2003+Q685,""))</f>
        <v/>
      </c>
      <c r="E685" s="0" t="n">
        <f aca="false">E684+C685</f>
        <v>0</v>
      </c>
      <c r="P685" s="0" t="n">
        <f aca="false">IF(AND(Comments!B683='Policy card'!$C$3,Comments!N683="Closed"),1,0)</f>
        <v>0</v>
      </c>
      <c r="Q685" s="0" t="n">
        <f aca="false">Q684+P685</f>
        <v>7</v>
      </c>
    </row>
    <row r="686" customFormat="false" ht="15" hidden="false" customHeight="false" outlineLevel="0" collapsed="false">
      <c r="C686" s="0" t="n">
        <f aca="false">IF(AND(Comments!B684='Policy card'!$C$3,Comments!N684="Open"),1,0)</f>
        <v>0</v>
      </c>
      <c r="D686" s="0" t="str">
        <f aca="false">IF(C686=1,E686,IF(P686=1,$E$2003+Q686,""))</f>
        <v/>
      </c>
      <c r="E686" s="0" t="n">
        <f aca="false">E685+C686</f>
        <v>0</v>
      </c>
      <c r="P686" s="0" t="n">
        <f aca="false">IF(AND(Comments!B684='Policy card'!$C$3,Comments!N684="Closed"),1,0)</f>
        <v>0</v>
      </c>
      <c r="Q686" s="0" t="n">
        <f aca="false">Q685+P686</f>
        <v>7</v>
      </c>
    </row>
    <row r="687" customFormat="false" ht="15" hidden="false" customHeight="false" outlineLevel="0" collapsed="false">
      <c r="C687" s="0" t="n">
        <f aca="false">IF(AND(Comments!B685='Policy card'!$C$3,Comments!N685="Open"),1,0)</f>
        <v>0</v>
      </c>
      <c r="D687" s="0" t="str">
        <f aca="false">IF(C687=1,E687,IF(P687=1,$E$2003+Q687,""))</f>
        <v/>
      </c>
      <c r="E687" s="0" t="n">
        <f aca="false">E686+C687</f>
        <v>0</v>
      </c>
      <c r="P687" s="0" t="n">
        <f aca="false">IF(AND(Comments!B685='Policy card'!$C$3,Comments!N685="Closed"),1,0)</f>
        <v>0</v>
      </c>
      <c r="Q687" s="0" t="n">
        <f aca="false">Q686+P687</f>
        <v>7</v>
      </c>
    </row>
    <row r="688" customFormat="false" ht="15" hidden="false" customHeight="false" outlineLevel="0" collapsed="false">
      <c r="C688" s="0" t="n">
        <f aca="false">IF(AND(Comments!B686='Policy card'!$C$3,Comments!N686="Open"),1,0)</f>
        <v>0</v>
      </c>
      <c r="D688" s="0" t="str">
        <f aca="false">IF(C688=1,E688,IF(P688=1,$E$2003+Q688,""))</f>
        <v/>
      </c>
      <c r="E688" s="0" t="n">
        <f aca="false">E687+C688</f>
        <v>0</v>
      </c>
      <c r="P688" s="0" t="n">
        <f aca="false">IF(AND(Comments!B686='Policy card'!$C$3,Comments!N686="Closed"),1,0)</f>
        <v>0</v>
      </c>
      <c r="Q688" s="0" t="n">
        <f aca="false">Q687+P688</f>
        <v>7</v>
      </c>
    </row>
    <row r="689" customFormat="false" ht="15" hidden="false" customHeight="false" outlineLevel="0" collapsed="false">
      <c r="C689" s="0" t="n">
        <f aca="false">IF(AND(Comments!B687='Policy card'!$C$3,Comments!N687="Open"),1,0)</f>
        <v>0</v>
      </c>
      <c r="D689" s="0" t="str">
        <f aca="false">IF(C689=1,E689,IF(P689=1,$E$2003+Q689,""))</f>
        <v/>
      </c>
      <c r="E689" s="0" t="n">
        <f aca="false">E688+C689</f>
        <v>0</v>
      </c>
      <c r="P689" s="0" t="n">
        <f aca="false">IF(AND(Comments!B687='Policy card'!$C$3,Comments!N687="Closed"),1,0)</f>
        <v>0</v>
      </c>
      <c r="Q689" s="0" t="n">
        <f aca="false">Q688+P689</f>
        <v>7</v>
      </c>
    </row>
    <row r="690" customFormat="false" ht="15" hidden="false" customHeight="false" outlineLevel="0" collapsed="false">
      <c r="C690" s="0" t="n">
        <f aca="false">IF(AND(Comments!B688='Policy card'!$C$3,Comments!N688="Open"),1,0)</f>
        <v>0</v>
      </c>
      <c r="D690" s="0" t="str">
        <f aca="false">IF(C690=1,E690,IF(P690=1,$E$2003+Q690,""))</f>
        <v/>
      </c>
      <c r="E690" s="0" t="n">
        <f aca="false">E689+C690</f>
        <v>0</v>
      </c>
      <c r="P690" s="0" t="n">
        <f aca="false">IF(AND(Comments!B688='Policy card'!$C$3,Comments!N688="Closed"),1,0)</f>
        <v>0</v>
      </c>
      <c r="Q690" s="0" t="n">
        <f aca="false">Q689+P690</f>
        <v>7</v>
      </c>
    </row>
    <row r="691" customFormat="false" ht="15" hidden="false" customHeight="false" outlineLevel="0" collapsed="false">
      <c r="C691" s="0" t="n">
        <f aca="false">IF(AND(Comments!B689='Policy card'!$C$3,Comments!N689="Open"),1,0)</f>
        <v>0</v>
      </c>
      <c r="D691" s="0" t="str">
        <f aca="false">IF(C691=1,E691,IF(P691=1,$E$2003+Q691,""))</f>
        <v/>
      </c>
      <c r="E691" s="0" t="n">
        <f aca="false">E690+C691</f>
        <v>0</v>
      </c>
      <c r="P691" s="0" t="n">
        <f aca="false">IF(AND(Comments!B689='Policy card'!$C$3,Comments!N689="Closed"),1,0)</f>
        <v>0</v>
      </c>
      <c r="Q691" s="0" t="n">
        <f aca="false">Q690+P691</f>
        <v>7</v>
      </c>
    </row>
    <row r="692" customFormat="false" ht="15" hidden="false" customHeight="false" outlineLevel="0" collapsed="false">
      <c r="C692" s="0" t="n">
        <f aca="false">IF(AND(Comments!B690='Policy card'!$C$3,Comments!N690="Open"),1,0)</f>
        <v>0</v>
      </c>
      <c r="D692" s="0" t="str">
        <f aca="false">IF(C692=1,E692,IF(P692=1,$E$2003+Q692,""))</f>
        <v/>
      </c>
      <c r="E692" s="0" t="n">
        <f aca="false">E691+C692</f>
        <v>0</v>
      </c>
      <c r="P692" s="0" t="n">
        <f aca="false">IF(AND(Comments!B690='Policy card'!$C$3,Comments!N690="Closed"),1,0)</f>
        <v>0</v>
      </c>
      <c r="Q692" s="0" t="n">
        <f aca="false">Q691+P692</f>
        <v>7</v>
      </c>
    </row>
    <row r="693" customFormat="false" ht="15" hidden="false" customHeight="false" outlineLevel="0" collapsed="false">
      <c r="C693" s="0" t="n">
        <f aca="false">IF(AND(Comments!B691='Policy card'!$C$3,Comments!N691="Open"),1,0)</f>
        <v>0</v>
      </c>
      <c r="D693" s="0" t="str">
        <f aca="false">IF(C693=1,E693,IF(P693=1,$E$2003+Q693,""))</f>
        <v/>
      </c>
      <c r="E693" s="0" t="n">
        <f aca="false">E692+C693</f>
        <v>0</v>
      </c>
      <c r="P693" s="0" t="n">
        <f aca="false">IF(AND(Comments!B691='Policy card'!$C$3,Comments!N691="Closed"),1,0)</f>
        <v>0</v>
      </c>
      <c r="Q693" s="0" t="n">
        <f aca="false">Q692+P693</f>
        <v>7</v>
      </c>
    </row>
    <row r="694" customFormat="false" ht="15" hidden="false" customHeight="false" outlineLevel="0" collapsed="false">
      <c r="C694" s="0" t="n">
        <f aca="false">IF(AND(Comments!B692='Policy card'!$C$3,Comments!N692="Open"),1,0)</f>
        <v>0</v>
      </c>
      <c r="D694" s="0" t="str">
        <f aca="false">IF(C694=1,E694,IF(P694=1,$E$2003+Q694,""))</f>
        <v/>
      </c>
      <c r="E694" s="0" t="n">
        <f aca="false">E693+C694</f>
        <v>0</v>
      </c>
      <c r="P694" s="0" t="n">
        <f aca="false">IF(AND(Comments!B692='Policy card'!$C$3,Comments!N692="Closed"),1,0)</f>
        <v>0</v>
      </c>
      <c r="Q694" s="0" t="n">
        <f aca="false">Q693+P694</f>
        <v>7</v>
      </c>
    </row>
    <row r="695" customFormat="false" ht="15" hidden="false" customHeight="false" outlineLevel="0" collapsed="false">
      <c r="C695" s="0" t="n">
        <f aca="false">IF(AND(Comments!B693='Policy card'!$C$3,Comments!N693="Open"),1,0)</f>
        <v>0</v>
      </c>
      <c r="D695" s="0" t="str">
        <f aca="false">IF(C695=1,E695,IF(P695=1,$E$2003+Q695,""))</f>
        <v/>
      </c>
      <c r="E695" s="0" t="n">
        <f aca="false">E694+C695</f>
        <v>0</v>
      </c>
      <c r="P695" s="0" t="n">
        <f aca="false">IF(AND(Comments!B693='Policy card'!$C$3,Comments!N693="Closed"),1,0)</f>
        <v>0</v>
      </c>
      <c r="Q695" s="0" t="n">
        <f aca="false">Q694+P695</f>
        <v>7</v>
      </c>
    </row>
    <row r="696" customFormat="false" ht="15" hidden="false" customHeight="false" outlineLevel="0" collapsed="false">
      <c r="C696" s="0" t="n">
        <f aca="false">IF(AND(Comments!B694='Policy card'!$C$3,Comments!N694="Open"),1,0)</f>
        <v>0</v>
      </c>
      <c r="D696" s="0" t="str">
        <f aca="false">IF(C696=1,E696,IF(P696=1,$E$2003+Q696,""))</f>
        <v/>
      </c>
      <c r="E696" s="0" t="n">
        <f aca="false">E695+C696</f>
        <v>0</v>
      </c>
      <c r="P696" s="0" t="n">
        <f aca="false">IF(AND(Comments!B694='Policy card'!$C$3,Comments!N694="Closed"),1,0)</f>
        <v>0</v>
      </c>
      <c r="Q696" s="0" t="n">
        <f aca="false">Q695+P696</f>
        <v>7</v>
      </c>
    </row>
    <row r="697" customFormat="false" ht="15" hidden="false" customHeight="false" outlineLevel="0" collapsed="false">
      <c r="C697" s="0" t="n">
        <f aca="false">IF(AND(Comments!B695='Policy card'!$C$3,Comments!N695="Open"),1,0)</f>
        <v>0</v>
      </c>
      <c r="D697" s="0" t="str">
        <f aca="false">IF(C697=1,E697,IF(P697=1,$E$2003+Q697,""))</f>
        <v/>
      </c>
      <c r="E697" s="0" t="n">
        <f aca="false">E696+C697</f>
        <v>0</v>
      </c>
      <c r="P697" s="0" t="n">
        <f aca="false">IF(AND(Comments!B695='Policy card'!$C$3,Comments!N695="Closed"),1,0)</f>
        <v>0</v>
      </c>
      <c r="Q697" s="0" t="n">
        <f aca="false">Q696+P697</f>
        <v>7</v>
      </c>
    </row>
    <row r="698" customFormat="false" ht="15" hidden="false" customHeight="false" outlineLevel="0" collapsed="false">
      <c r="C698" s="0" t="n">
        <f aca="false">IF(AND(Comments!B696='Policy card'!$C$3,Comments!N696="Open"),1,0)</f>
        <v>0</v>
      </c>
      <c r="D698" s="0" t="str">
        <f aca="false">IF(C698=1,E698,IF(P698=1,$E$2003+Q698,""))</f>
        <v/>
      </c>
      <c r="E698" s="0" t="n">
        <f aca="false">E697+C698</f>
        <v>0</v>
      </c>
      <c r="P698" s="0" t="n">
        <f aca="false">IF(AND(Comments!B696='Policy card'!$C$3,Comments!N696="Closed"),1,0)</f>
        <v>0</v>
      </c>
      <c r="Q698" s="0" t="n">
        <f aca="false">Q697+P698</f>
        <v>7</v>
      </c>
    </row>
    <row r="699" customFormat="false" ht="15" hidden="false" customHeight="false" outlineLevel="0" collapsed="false">
      <c r="C699" s="0" t="n">
        <f aca="false">IF(AND(Comments!B697='Policy card'!$C$3,Comments!N697="Open"),1,0)</f>
        <v>0</v>
      </c>
      <c r="D699" s="0" t="str">
        <f aca="false">IF(C699=1,E699,IF(P699=1,$E$2003+Q699,""))</f>
        <v/>
      </c>
      <c r="E699" s="0" t="n">
        <f aca="false">E698+C699</f>
        <v>0</v>
      </c>
      <c r="P699" s="0" t="n">
        <f aca="false">IF(AND(Comments!B697='Policy card'!$C$3,Comments!N697="Closed"),1,0)</f>
        <v>0</v>
      </c>
      <c r="Q699" s="0" t="n">
        <f aca="false">Q698+P699</f>
        <v>7</v>
      </c>
    </row>
    <row r="700" customFormat="false" ht="15" hidden="false" customHeight="false" outlineLevel="0" collapsed="false">
      <c r="C700" s="0" t="n">
        <f aca="false">IF(AND(Comments!B698='Policy card'!$C$3,Comments!N698="Open"),1,0)</f>
        <v>0</v>
      </c>
      <c r="D700" s="0" t="str">
        <f aca="false">IF(C700=1,E700,IF(P700=1,$E$2003+Q700,""))</f>
        <v/>
      </c>
      <c r="E700" s="0" t="n">
        <f aca="false">E699+C700</f>
        <v>0</v>
      </c>
      <c r="P700" s="0" t="n">
        <f aca="false">IF(AND(Comments!B698='Policy card'!$C$3,Comments!N698="Closed"),1,0)</f>
        <v>0</v>
      </c>
      <c r="Q700" s="0" t="n">
        <f aca="false">Q699+P700</f>
        <v>7</v>
      </c>
    </row>
    <row r="701" customFormat="false" ht="15" hidden="false" customHeight="false" outlineLevel="0" collapsed="false">
      <c r="C701" s="0" t="n">
        <f aca="false">IF(AND(Comments!B699='Policy card'!$C$3,Comments!N699="Open"),1,0)</f>
        <v>0</v>
      </c>
      <c r="D701" s="0" t="str">
        <f aca="false">IF(C701=1,E701,IF(P701=1,$E$2003+Q701,""))</f>
        <v/>
      </c>
      <c r="E701" s="0" t="n">
        <f aca="false">E700+C701</f>
        <v>0</v>
      </c>
      <c r="P701" s="0" t="n">
        <f aca="false">IF(AND(Comments!B699='Policy card'!$C$3,Comments!N699="Closed"),1,0)</f>
        <v>0</v>
      </c>
      <c r="Q701" s="0" t="n">
        <f aca="false">Q700+P701</f>
        <v>7</v>
      </c>
    </row>
    <row r="702" customFormat="false" ht="15" hidden="false" customHeight="false" outlineLevel="0" collapsed="false">
      <c r="C702" s="0" t="n">
        <f aca="false">IF(AND(Comments!B700='Policy card'!$C$3,Comments!N700="Open"),1,0)</f>
        <v>0</v>
      </c>
      <c r="D702" s="0" t="str">
        <f aca="false">IF(C702=1,E702,IF(P702=1,$E$2003+Q702,""))</f>
        <v/>
      </c>
      <c r="E702" s="0" t="n">
        <f aca="false">E701+C702</f>
        <v>0</v>
      </c>
      <c r="P702" s="0" t="n">
        <f aca="false">IF(AND(Comments!B700='Policy card'!$C$3,Comments!N700="Closed"),1,0)</f>
        <v>0</v>
      </c>
      <c r="Q702" s="0" t="n">
        <f aca="false">Q701+P702</f>
        <v>7</v>
      </c>
    </row>
    <row r="703" customFormat="false" ht="15" hidden="false" customHeight="false" outlineLevel="0" collapsed="false">
      <c r="C703" s="0" t="n">
        <f aca="false">IF(AND(Comments!B701='Policy card'!$C$3,Comments!N701="Open"),1,0)</f>
        <v>0</v>
      </c>
      <c r="D703" s="0" t="str">
        <f aca="false">IF(C703=1,E703,IF(P703=1,$E$2003+Q703,""))</f>
        <v/>
      </c>
      <c r="E703" s="0" t="n">
        <f aca="false">E702+C703</f>
        <v>0</v>
      </c>
      <c r="P703" s="0" t="n">
        <f aca="false">IF(AND(Comments!B701='Policy card'!$C$3,Comments!N701="Closed"),1,0)</f>
        <v>0</v>
      </c>
      <c r="Q703" s="0" t="n">
        <f aca="false">Q702+P703</f>
        <v>7</v>
      </c>
    </row>
    <row r="704" customFormat="false" ht="15" hidden="false" customHeight="false" outlineLevel="0" collapsed="false">
      <c r="C704" s="0" t="n">
        <f aca="false">IF(AND(Comments!B702='Policy card'!$C$3,Comments!N702="Open"),1,0)</f>
        <v>0</v>
      </c>
      <c r="D704" s="0" t="str">
        <f aca="false">IF(C704=1,E704,IF(P704=1,$E$2003+Q704,""))</f>
        <v/>
      </c>
      <c r="E704" s="0" t="n">
        <f aca="false">E703+C704</f>
        <v>0</v>
      </c>
      <c r="P704" s="0" t="n">
        <f aca="false">IF(AND(Comments!B702='Policy card'!$C$3,Comments!N702="Closed"),1,0)</f>
        <v>0</v>
      </c>
      <c r="Q704" s="0" t="n">
        <f aca="false">Q703+P704</f>
        <v>7</v>
      </c>
    </row>
    <row r="705" customFormat="false" ht="15" hidden="false" customHeight="false" outlineLevel="0" collapsed="false">
      <c r="C705" s="0" t="n">
        <f aca="false">IF(AND(Comments!B703='Policy card'!$C$3,Comments!N703="Open"),1,0)</f>
        <v>0</v>
      </c>
      <c r="D705" s="0" t="str">
        <f aca="false">IF(C705=1,E705,IF(P705=1,$E$2003+Q705,""))</f>
        <v/>
      </c>
      <c r="E705" s="0" t="n">
        <f aca="false">E704+C705</f>
        <v>0</v>
      </c>
      <c r="P705" s="0" t="n">
        <f aca="false">IF(AND(Comments!B703='Policy card'!$C$3,Comments!N703="Closed"),1,0)</f>
        <v>0</v>
      </c>
      <c r="Q705" s="0" t="n">
        <f aca="false">Q704+P705</f>
        <v>7</v>
      </c>
    </row>
    <row r="706" customFormat="false" ht="15" hidden="false" customHeight="false" outlineLevel="0" collapsed="false">
      <c r="C706" s="0" t="n">
        <f aca="false">IF(AND(Comments!B704='Policy card'!$C$3,Comments!N704="Open"),1,0)</f>
        <v>0</v>
      </c>
      <c r="D706" s="0" t="str">
        <f aca="false">IF(C706=1,E706,IF(P706=1,$E$2003+Q706,""))</f>
        <v/>
      </c>
      <c r="E706" s="0" t="n">
        <f aca="false">E705+C706</f>
        <v>0</v>
      </c>
      <c r="P706" s="0" t="n">
        <f aca="false">IF(AND(Comments!B704='Policy card'!$C$3,Comments!N704="Closed"),1,0)</f>
        <v>0</v>
      </c>
      <c r="Q706" s="0" t="n">
        <f aca="false">Q705+P706</f>
        <v>7</v>
      </c>
    </row>
    <row r="707" customFormat="false" ht="15" hidden="false" customHeight="false" outlineLevel="0" collapsed="false">
      <c r="C707" s="0" t="n">
        <f aca="false">IF(AND(Comments!B705='Policy card'!$C$3,Comments!N705="Open"),1,0)</f>
        <v>0</v>
      </c>
      <c r="D707" s="0" t="str">
        <f aca="false">IF(C707=1,E707,IF(P707=1,$E$2003+Q707,""))</f>
        <v/>
      </c>
      <c r="E707" s="0" t="n">
        <f aca="false">E706+C707</f>
        <v>0</v>
      </c>
      <c r="P707" s="0" t="n">
        <f aca="false">IF(AND(Comments!B705='Policy card'!$C$3,Comments!N705="Closed"),1,0)</f>
        <v>0</v>
      </c>
      <c r="Q707" s="0" t="n">
        <f aca="false">Q706+P707</f>
        <v>7</v>
      </c>
    </row>
    <row r="708" customFormat="false" ht="15" hidden="false" customHeight="false" outlineLevel="0" collapsed="false">
      <c r="C708" s="0" t="n">
        <f aca="false">IF(AND(Comments!B706='Policy card'!$C$3,Comments!N706="Open"),1,0)</f>
        <v>0</v>
      </c>
      <c r="D708" s="0" t="str">
        <f aca="false">IF(C708=1,E708,IF(P708=1,$E$2003+Q708,""))</f>
        <v/>
      </c>
      <c r="E708" s="0" t="n">
        <f aca="false">E707+C708</f>
        <v>0</v>
      </c>
      <c r="P708" s="0" t="n">
        <f aca="false">IF(AND(Comments!B706='Policy card'!$C$3,Comments!N706="Closed"),1,0)</f>
        <v>0</v>
      </c>
      <c r="Q708" s="0" t="n">
        <f aca="false">Q707+P708</f>
        <v>7</v>
      </c>
    </row>
    <row r="709" customFormat="false" ht="15" hidden="false" customHeight="false" outlineLevel="0" collapsed="false">
      <c r="C709" s="0" t="n">
        <f aca="false">IF(AND(Comments!B707='Policy card'!$C$3,Comments!N707="Open"),1,0)</f>
        <v>0</v>
      </c>
      <c r="D709" s="0" t="str">
        <f aca="false">IF(C709=1,E709,IF(P709=1,$E$2003+Q709,""))</f>
        <v/>
      </c>
      <c r="E709" s="0" t="n">
        <f aca="false">E708+C709</f>
        <v>0</v>
      </c>
      <c r="P709" s="0" t="n">
        <f aca="false">IF(AND(Comments!B707='Policy card'!$C$3,Comments!N707="Closed"),1,0)</f>
        <v>0</v>
      </c>
      <c r="Q709" s="0" t="n">
        <f aca="false">Q708+P709</f>
        <v>7</v>
      </c>
    </row>
    <row r="710" customFormat="false" ht="15" hidden="false" customHeight="false" outlineLevel="0" collapsed="false">
      <c r="C710" s="0" t="n">
        <f aca="false">IF(AND(Comments!B708='Policy card'!$C$3,Comments!N708="Open"),1,0)</f>
        <v>0</v>
      </c>
      <c r="D710" s="0" t="str">
        <f aca="false">IF(C710=1,E710,IF(P710=1,$E$2003+Q710,""))</f>
        <v/>
      </c>
      <c r="E710" s="0" t="n">
        <f aca="false">E709+C710</f>
        <v>0</v>
      </c>
      <c r="P710" s="0" t="n">
        <f aca="false">IF(AND(Comments!B708='Policy card'!$C$3,Comments!N708="Closed"),1,0)</f>
        <v>0</v>
      </c>
      <c r="Q710" s="0" t="n">
        <f aca="false">Q709+P710</f>
        <v>7</v>
      </c>
    </row>
    <row r="711" customFormat="false" ht="15" hidden="false" customHeight="false" outlineLevel="0" collapsed="false">
      <c r="C711" s="0" t="n">
        <f aca="false">IF(AND(Comments!B709='Policy card'!$C$3,Comments!N709="Open"),1,0)</f>
        <v>0</v>
      </c>
      <c r="D711" s="0" t="str">
        <f aca="false">IF(C711=1,E711,IF(P711=1,$E$2003+Q711,""))</f>
        <v/>
      </c>
      <c r="E711" s="0" t="n">
        <f aca="false">E710+C711</f>
        <v>0</v>
      </c>
      <c r="P711" s="0" t="n">
        <f aca="false">IF(AND(Comments!B709='Policy card'!$C$3,Comments!N709="Closed"),1,0)</f>
        <v>0</v>
      </c>
      <c r="Q711" s="0" t="n">
        <f aca="false">Q710+P711</f>
        <v>7</v>
      </c>
    </row>
    <row r="712" customFormat="false" ht="15" hidden="false" customHeight="false" outlineLevel="0" collapsed="false">
      <c r="C712" s="0" t="n">
        <f aca="false">IF(AND(Comments!B710='Policy card'!$C$3,Comments!N710="Open"),1,0)</f>
        <v>0</v>
      </c>
      <c r="D712" s="0" t="str">
        <f aca="false">IF(C712=1,E712,IF(P712=1,$E$2003+Q712,""))</f>
        <v/>
      </c>
      <c r="E712" s="0" t="n">
        <f aca="false">E711+C712</f>
        <v>0</v>
      </c>
      <c r="P712" s="0" t="n">
        <f aca="false">IF(AND(Comments!B710='Policy card'!$C$3,Comments!N710="Closed"),1,0)</f>
        <v>0</v>
      </c>
      <c r="Q712" s="0" t="n">
        <f aca="false">Q711+P712</f>
        <v>7</v>
      </c>
    </row>
    <row r="713" customFormat="false" ht="15" hidden="false" customHeight="false" outlineLevel="0" collapsed="false">
      <c r="C713" s="0" t="n">
        <f aca="false">IF(AND(Comments!B711='Policy card'!$C$3,Comments!N711="Open"),1,0)</f>
        <v>0</v>
      </c>
      <c r="D713" s="0" t="str">
        <f aca="false">IF(C713=1,E713,IF(P713=1,$E$2003+Q713,""))</f>
        <v/>
      </c>
      <c r="E713" s="0" t="n">
        <f aca="false">E712+C713</f>
        <v>0</v>
      </c>
      <c r="P713" s="0" t="n">
        <f aca="false">IF(AND(Comments!B711='Policy card'!$C$3,Comments!N711="Closed"),1,0)</f>
        <v>0</v>
      </c>
      <c r="Q713" s="0" t="n">
        <f aca="false">Q712+P713</f>
        <v>7</v>
      </c>
    </row>
    <row r="714" customFormat="false" ht="15" hidden="false" customHeight="false" outlineLevel="0" collapsed="false">
      <c r="C714" s="0" t="n">
        <f aca="false">IF(AND(Comments!B712='Policy card'!$C$3,Comments!N712="Open"),1,0)</f>
        <v>0</v>
      </c>
      <c r="D714" s="0" t="str">
        <f aca="false">IF(C714=1,E714,IF(P714=1,$E$2003+Q714,""))</f>
        <v/>
      </c>
      <c r="E714" s="0" t="n">
        <f aca="false">E713+C714</f>
        <v>0</v>
      </c>
      <c r="P714" s="0" t="n">
        <f aca="false">IF(AND(Comments!B712='Policy card'!$C$3,Comments!N712="Closed"),1,0)</f>
        <v>0</v>
      </c>
      <c r="Q714" s="0" t="n">
        <f aca="false">Q713+P714</f>
        <v>7</v>
      </c>
    </row>
    <row r="715" customFormat="false" ht="15" hidden="false" customHeight="false" outlineLevel="0" collapsed="false">
      <c r="C715" s="0" t="n">
        <f aca="false">IF(AND(Comments!B713='Policy card'!$C$3,Comments!N713="Open"),1,0)</f>
        <v>0</v>
      </c>
      <c r="D715" s="0" t="str">
        <f aca="false">IF(C715=1,E715,IF(P715=1,$E$2003+Q715,""))</f>
        <v/>
      </c>
      <c r="E715" s="0" t="n">
        <f aca="false">E714+C715</f>
        <v>0</v>
      </c>
      <c r="P715" s="0" t="n">
        <f aca="false">IF(AND(Comments!B713='Policy card'!$C$3,Comments!N713="Closed"),1,0)</f>
        <v>0</v>
      </c>
      <c r="Q715" s="0" t="n">
        <f aca="false">Q714+P715</f>
        <v>7</v>
      </c>
    </row>
    <row r="716" customFormat="false" ht="15" hidden="false" customHeight="false" outlineLevel="0" collapsed="false">
      <c r="C716" s="0" t="n">
        <f aca="false">IF(AND(Comments!B714='Policy card'!$C$3,Comments!N714="Open"),1,0)</f>
        <v>0</v>
      </c>
      <c r="D716" s="0" t="str">
        <f aca="false">IF(C716=1,E716,IF(P716=1,$E$2003+Q716,""))</f>
        <v/>
      </c>
      <c r="E716" s="0" t="n">
        <f aca="false">E715+C716</f>
        <v>0</v>
      </c>
      <c r="P716" s="0" t="n">
        <f aca="false">IF(AND(Comments!B714='Policy card'!$C$3,Comments!N714="Closed"),1,0)</f>
        <v>0</v>
      </c>
      <c r="Q716" s="0" t="n">
        <f aca="false">Q715+P716</f>
        <v>7</v>
      </c>
    </row>
    <row r="717" customFormat="false" ht="15" hidden="false" customHeight="false" outlineLevel="0" collapsed="false">
      <c r="C717" s="0" t="n">
        <f aca="false">IF(AND(Comments!B715='Policy card'!$C$3,Comments!N715="Open"),1,0)</f>
        <v>0</v>
      </c>
      <c r="D717" s="0" t="str">
        <f aca="false">IF(C717=1,E717,IF(P717=1,$E$2003+Q717,""))</f>
        <v/>
      </c>
      <c r="E717" s="0" t="n">
        <f aca="false">E716+C717</f>
        <v>0</v>
      </c>
      <c r="P717" s="0" t="n">
        <f aca="false">IF(AND(Comments!B715='Policy card'!$C$3,Comments!N715="Closed"),1,0)</f>
        <v>0</v>
      </c>
      <c r="Q717" s="0" t="n">
        <f aca="false">Q716+P717</f>
        <v>7</v>
      </c>
    </row>
    <row r="718" customFormat="false" ht="15" hidden="false" customHeight="false" outlineLevel="0" collapsed="false">
      <c r="C718" s="0" t="n">
        <f aca="false">IF(AND(Comments!B716='Policy card'!$C$3,Comments!N716="Open"),1,0)</f>
        <v>0</v>
      </c>
      <c r="D718" s="0" t="str">
        <f aca="false">IF(C718=1,E718,IF(P718=1,$E$2003+Q718,""))</f>
        <v/>
      </c>
      <c r="E718" s="0" t="n">
        <f aca="false">E717+C718</f>
        <v>0</v>
      </c>
      <c r="P718" s="0" t="n">
        <f aca="false">IF(AND(Comments!B716='Policy card'!$C$3,Comments!N716="Closed"),1,0)</f>
        <v>0</v>
      </c>
      <c r="Q718" s="0" t="n">
        <f aca="false">Q717+P718</f>
        <v>7</v>
      </c>
    </row>
    <row r="719" customFormat="false" ht="15" hidden="false" customHeight="false" outlineLevel="0" collapsed="false">
      <c r="C719" s="0" t="n">
        <f aca="false">IF(AND(Comments!B717='Policy card'!$C$3,Comments!N717="Open"),1,0)</f>
        <v>0</v>
      </c>
      <c r="D719" s="0" t="str">
        <f aca="false">IF(C719=1,E719,IF(P719=1,$E$2003+Q719,""))</f>
        <v/>
      </c>
      <c r="E719" s="0" t="n">
        <f aca="false">E718+C719</f>
        <v>0</v>
      </c>
      <c r="P719" s="0" t="n">
        <f aca="false">IF(AND(Comments!B717='Policy card'!$C$3,Comments!N717="Closed"),1,0)</f>
        <v>0</v>
      </c>
      <c r="Q719" s="0" t="n">
        <f aca="false">Q718+P719</f>
        <v>7</v>
      </c>
    </row>
    <row r="720" customFormat="false" ht="15" hidden="false" customHeight="false" outlineLevel="0" collapsed="false">
      <c r="C720" s="0" t="n">
        <f aca="false">IF(AND(Comments!B718='Policy card'!$C$3,Comments!N718="Open"),1,0)</f>
        <v>0</v>
      </c>
      <c r="D720" s="0" t="str">
        <f aca="false">IF(C720=1,E720,IF(P720=1,$E$2003+Q720,""))</f>
        <v/>
      </c>
      <c r="E720" s="0" t="n">
        <f aca="false">E719+C720</f>
        <v>0</v>
      </c>
      <c r="P720" s="0" t="n">
        <f aca="false">IF(AND(Comments!B718='Policy card'!$C$3,Comments!N718="Closed"),1,0)</f>
        <v>0</v>
      </c>
      <c r="Q720" s="0" t="n">
        <f aca="false">Q719+P720</f>
        <v>7</v>
      </c>
    </row>
    <row r="721" customFormat="false" ht="15" hidden="false" customHeight="false" outlineLevel="0" collapsed="false">
      <c r="C721" s="0" t="n">
        <f aca="false">IF(AND(Comments!B719='Policy card'!$C$3,Comments!N719="Open"),1,0)</f>
        <v>0</v>
      </c>
      <c r="D721" s="0" t="str">
        <f aca="false">IF(C721=1,E721,IF(P721=1,$E$2003+Q721,""))</f>
        <v/>
      </c>
      <c r="E721" s="0" t="n">
        <f aca="false">E720+C721</f>
        <v>0</v>
      </c>
      <c r="P721" s="0" t="n">
        <f aca="false">IF(AND(Comments!B719='Policy card'!$C$3,Comments!N719="Closed"),1,0)</f>
        <v>0</v>
      </c>
      <c r="Q721" s="0" t="n">
        <f aca="false">Q720+P721</f>
        <v>7</v>
      </c>
    </row>
    <row r="722" customFormat="false" ht="15" hidden="false" customHeight="false" outlineLevel="0" collapsed="false">
      <c r="C722" s="0" t="n">
        <f aca="false">IF(AND(Comments!B720='Policy card'!$C$3,Comments!N720="Open"),1,0)</f>
        <v>0</v>
      </c>
      <c r="D722" s="0" t="str">
        <f aca="false">IF(C722=1,E722,IF(P722=1,$E$2003+Q722,""))</f>
        <v/>
      </c>
      <c r="E722" s="0" t="n">
        <f aca="false">E721+C722</f>
        <v>0</v>
      </c>
      <c r="P722" s="0" t="n">
        <f aca="false">IF(AND(Comments!B720='Policy card'!$C$3,Comments!N720="Closed"),1,0)</f>
        <v>0</v>
      </c>
      <c r="Q722" s="0" t="n">
        <f aca="false">Q721+P722</f>
        <v>7</v>
      </c>
    </row>
    <row r="723" customFormat="false" ht="15" hidden="false" customHeight="false" outlineLevel="0" collapsed="false">
      <c r="C723" s="0" t="n">
        <f aca="false">IF(AND(Comments!B721='Policy card'!$C$3,Comments!N721="Open"),1,0)</f>
        <v>0</v>
      </c>
      <c r="D723" s="0" t="str">
        <f aca="false">IF(C723=1,E723,IF(P723=1,$E$2003+Q723,""))</f>
        <v/>
      </c>
      <c r="E723" s="0" t="n">
        <f aca="false">E722+C723</f>
        <v>0</v>
      </c>
      <c r="P723" s="0" t="n">
        <f aca="false">IF(AND(Comments!B721='Policy card'!$C$3,Comments!N721="Closed"),1,0)</f>
        <v>0</v>
      </c>
      <c r="Q723" s="0" t="n">
        <f aca="false">Q722+P723</f>
        <v>7</v>
      </c>
    </row>
    <row r="724" customFormat="false" ht="15" hidden="false" customHeight="false" outlineLevel="0" collapsed="false">
      <c r="C724" s="0" t="n">
        <f aca="false">IF(AND(Comments!B722='Policy card'!$C$3,Comments!N722="Open"),1,0)</f>
        <v>0</v>
      </c>
      <c r="D724" s="0" t="str">
        <f aca="false">IF(C724=1,E724,IF(P724=1,$E$2003+Q724,""))</f>
        <v/>
      </c>
      <c r="E724" s="0" t="n">
        <f aca="false">E723+C724</f>
        <v>0</v>
      </c>
      <c r="P724" s="0" t="n">
        <f aca="false">IF(AND(Comments!B722='Policy card'!$C$3,Comments!N722="Closed"),1,0)</f>
        <v>0</v>
      </c>
      <c r="Q724" s="0" t="n">
        <f aca="false">Q723+P724</f>
        <v>7</v>
      </c>
    </row>
    <row r="725" customFormat="false" ht="15" hidden="false" customHeight="false" outlineLevel="0" collapsed="false">
      <c r="C725" s="0" t="n">
        <f aca="false">IF(AND(Comments!B723='Policy card'!$C$3,Comments!N723="Open"),1,0)</f>
        <v>0</v>
      </c>
      <c r="D725" s="0" t="str">
        <f aca="false">IF(C725=1,E725,IF(P725=1,$E$2003+Q725,""))</f>
        <v/>
      </c>
      <c r="E725" s="0" t="n">
        <f aca="false">E724+C725</f>
        <v>0</v>
      </c>
      <c r="P725" s="0" t="n">
        <f aca="false">IF(AND(Comments!B723='Policy card'!$C$3,Comments!N723="Closed"),1,0)</f>
        <v>0</v>
      </c>
      <c r="Q725" s="0" t="n">
        <f aca="false">Q724+P725</f>
        <v>7</v>
      </c>
    </row>
    <row r="726" customFormat="false" ht="15" hidden="false" customHeight="false" outlineLevel="0" collapsed="false">
      <c r="C726" s="0" t="n">
        <f aca="false">IF(AND(Comments!B724='Policy card'!$C$3,Comments!N724="Open"),1,0)</f>
        <v>0</v>
      </c>
      <c r="D726" s="0" t="str">
        <f aca="false">IF(C726=1,E726,IF(P726=1,$E$2003+Q726,""))</f>
        <v/>
      </c>
      <c r="E726" s="0" t="n">
        <f aca="false">E725+C726</f>
        <v>0</v>
      </c>
      <c r="P726" s="0" t="n">
        <f aca="false">IF(AND(Comments!B724='Policy card'!$C$3,Comments!N724="Closed"),1,0)</f>
        <v>0</v>
      </c>
      <c r="Q726" s="0" t="n">
        <f aca="false">Q725+P726</f>
        <v>7</v>
      </c>
    </row>
    <row r="727" customFormat="false" ht="15" hidden="false" customHeight="false" outlineLevel="0" collapsed="false">
      <c r="C727" s="0" t="n">
        <f aca="false">IF(AND(Comments!B725='Policy card'!$C$3,Comments!N725="Open"),1,0)</f>
        <v>0</v>
      </c>
      <c r="D727" s="0" t="str">
        <f aca="false">IF(C727=1,E727,IF(P727=1,$E$2003+Q727,""))</f>
        <v/>
      </c>
      <c r="E727" s="0" t="n">
        <f aca="false">E726+C727</f>
        <v>0</v>
      </c>
      <c r="P727" s="0" t="n">
        <f aca="false">IF(AND(Comments!B725='Policy card'!$C$3,Comments!N725="Closed"),1,0)</f>
        <v>0</v>
      </c>
      <c r="Q727" s="0" t="n">
        <f aca="false">Q726+P727</f>
        <v>7</v>
      </c>
    </row>
    <row r="728" customFormat="false" ht="15" hidden="false" customHeight="false" outlineLevel="0" collapsed="false">
      <c r="C728" s="0" t="n">
        <f aca="false">IF(AND(Comments!B726='Policy card'!$C$3,Comments!N726="Open"),1,0)</f>
        <v>0</v>
      </c>
      <c r="D728" s="0" t="str">
        <f aca="false">IF(C728=1,E728,IF(P728=1,$E$2003+Q728,""))</f>
        <v/>
      </c>
      <c r="E728" s="0" t="n">
        <f aca="false">E727+C728</f>
        <v>0</v>
      </c>
      <c r="P728" s="0" t="n">
        <f aca="false">IF(AND(Comments!B726='Policy card'!$C$3,Comments!N726="Closed"),1,0)</f>
        <v>0</v>
      </c>
      <c r="Q728" s="0" t="n">
        <f aca="false">Q727+P728</f>
        <v>7</v>
      </c>
    </row>
    <row r="729" customFormat="false" ht="15" hidden="false" customHeight="false" outlineLevel="0" collapsed="false">
      <c r="C729" s="0" t="n">
        <f aca="false">IF(AND(Comments!B727='Policy card'!$C$3,Comments!N727="Open"),1,0)</f>
        <v>0</v>
      </c>
      <c r="D729" s="0" t="str">
        <f aca="false">IF(C729=1,E729,IF(P729=1,$E$2003+Q729,""))</f>
        <v/>
      </c>
      <c r="E729" s="0" t="n">
        <f aca="false">E728+C729</f>
        <v>0</v>
      </c>
      <c r="P729" s="0" t="n">
        <f aca="false">IF(AND(Comments!B727='Policy card'!$C$3,Comments!N727="Closed"),1,0)</f>
        <v>0</v>
      </c>
      <c r="Q729" s="0" t="n">
        <f aca="false">Q728+P729</f>
        <v>7</v>
      </c>
    </row>
    <row r="730" customFormat="false" ht="15" hidden="false" customHeight="false" outlineLevel="0" collapsed="false">
      <c r="C730" s="0" t="n">
        <f aca="false">IF(AND(Comments!B728='Policy card'!$C$3,Comments!N728="Open"),1,0)</f>
        <v>0</v>
      </c>
      <c r="D730" s="0" t="str">
        <f aca="false">IF(C730=1,E730,IF(P730=1,$E$2003+Q730,""))</f>
        <v/>
      </c>
      <c r="E730" s="0" t="n">
        <f aca="false">E729+C730</f>
        <v>0</v>
      </c>
      <c r="P730" s="0" t="n">
        <f aca="false">IF(AND(Comments!B728='Policy card'!$C$3,Comments!N728="Closed"),1,0)</f>
        <v>0</v>
      </c>
      <c r="Q730" s="0" t="n">
        <f aca="false">Q729+P730</f>
        <v>7</v>
      </c>
    </row>
    <row r="731" customFormat="false" ht="15" hidden="false" customHeight="false" outlineLevel="0" collapsed="false">
      <c r="C731" s="0" t="n">
        <f aca="false">IF(AND(Comments!B729='Policy card'!$C$3,Comments!N729="Open"),1,0)</f>
        <v>0</v>
      </c>
      <c r="D731" s="0" t="str">
        <f aca="false">IF(C731=1,E731,IF(P731=1,$E$2003+Q731,""))</f>
        <v/>
      </c>
      <c r="E731" s="0" t="n">
        <f aca="false">E730+C731</f>
        <v>0</v>
      </c>
      <c r="P731" s="0" t="n">
        <f aca="false">IF(AND(Comments!B729='Policy card'!$C$3,Comments!N729="Closed"),1,0)</f>
        <v>0</v>
      </c>
      <c r="Q731" s="0" t="n">
        <f aca="false">Q730+P731</f>
        <v>7</v>
      </c>
    </row>
    <row r="732" customFormat="false" ht="15" hidden="false" customHeight="false" outlineLevel="0" collapsed="false">
      <c r="C732" s="0" t="n">
        <f aca="false">IF(AND(Comments!B730='Policy card'!$C$3,Comments!N730="Open"),1,0)</f>
        <v>0</v>
      </c>
      <c r="D732" s="0" t="str">
        <f aca="false">IF(C732=1,E732,IF(P732=1,$E$2003+Q732,""))</f>
        <v/>
      </c>
      <c r="E732" s="0" t="n">
        <f aca="false">E731+C732</f>
        <v>0</v>
      </c>
      <c r="P732" s="0" t="n">
        <f aca="false">IF(AND(Comments!B730='Policy card'!$C$3,Comments!N730="Closed"),1,0)</f>
        <v>0</v>
      </c>
      <c r="Q732" s="0" t="n">
        <f aca="false">Q731+P732</f>
        <v>7</v>
      </c>
    </row>
    <row r="733" customFormat="false" ht="15" hidden="false" customHeight="false" outlineLevel="0" collapsed="false">
      <c r="C733" s="0" t="n">
        <f aca="false">IF(AND(Comments!B731='Policy card'!$C$3,Comments!N731="Open"),1,0)</f>
        <v>0</v>
      </c>
      <c r="D733" s="0" t="str">
        <f aca="false">IF(C733=1,E733,IF(P733=1,$E$2003+Q733,""))</f>
        <v/>
      </c>
      <c r="E733" s="0" t="n">
        <f aca="false">E732+C733</f>
        <v>0</v>
      </c>
      <c r="P733" s="0" t="n">
        <f aca="false">IF(AND(Comments!B731='Policy card'!$C$3,Comments!N731="Closed"),1,0)</f>
        <v>0</v>
      </c>
      <c r="Q733" s="0" t="n">
        <f aca="false">Q732+P733</f>
        <v>7</v>
      </c>
    </row>
    <row r="734" customFormat="false" ht="15" hidden="false" customHeight="false" outlineLevel="0" collapsed="false">
      <c r="C734" s="0" t="n">
        <f aca="false">IF(AND(Comments!B732='Policy card'!$C$3,Comments!N732="Open"),1,0)</f>
        <v>0</v>
      </c>
      <c r="D734" s="0" t="str">
        <f aca="false">IF(C734=1,E734,IF(P734=1,$E$2003+Q734,""))</f>
        <v/>
      </c>
      <c r="E734" s="0" t="n">
        <f aca="false">E733+C734</f>
        <v>0</v>
      </c>
      <c r="P734" s="0" t="n">
        <f aca="false">IF(AND(Comments!B732='Policy card'!$C$3,Comments!N732="Closed"),1,0)</f>
        <v>0</v>
      </c>
      <c r="Q734" s="0" t="n">
        <f aca="false">Q733+P734</f>
        <v>7</v>
      </c>
    </row>
    <row r="735" customFormat="false" ht="15" hidden="false" customHeight="false" outlineLevel="0" collapsed="false">
      <c r="C735" s="0" t="n">
        <f aca="false">IF(AND(Comments!B733='Policy card'!$C$3,Comments!N733="Open"),1,0)</f>
        <v>0</v>
      </c>
      <c r="D735" s="0" t="str">
        <f aca="false">IF(C735=1,E735,IF(P735=1,$E$2003+Q735,""))</f>
        <v/>
      </c>
      <c r="E735" s="0" t="n">
        <f aca="false">E734+C735</f>
        <v>0</v>
      </c>
      <c r="P735" s="0" t="n">
        <f aca="false">IF(AND(Comments!B733='Policy card'!$C$3,Comments!N733="Closed"),1,0)</f>
        <v>0</v>
      </c>
      <c r="Q735" s="0" t="n">
        <f aca="false">Q734+P735</f>
        <v>7</v>
      </c>
    </row>
    <row r="736" customFormat="false" ht="15" hidden="false" customHeight="false" outlineLevel="0" collapsed="false">
      <c r="C736" s="0" t="n">
        <f aca="false">IF(AND(Comments!B734='Policy card'!$C$3,Comments!N734="Open"),1,0)</f>
        <v>0</v>
      </c>
      <c r="D736" s="0" t="str">
        <f aca="false">IF(C736=1,E736,IF(P736=1,$E$2003+Q736,""))</f>
        <v/>
      </c>
      <c r="E736" s="0" t="n">
        <f aca="false">E735+C736</f>
        <v>0</v>
      </c>
      <c r="P736" s="0" t="n">
        <f aca="false">IF(AND(Comments!B734='Policy card'!$C$3,Comments!N734="Closed"),1,0)</f>
        <v>0</v>
      </c>
      <c r="Q736" s="0" t="n">
        <f aca="false">Q735+P736</f>
        <v>7</v>
      </c>
    </row>
    <row r="737" customFormat="false" ht="15" hidden="false" customHeight="false" outlineLevel="0" collapsed="false">
      <c r="C737" s="0" t="n">
        <f aca="false">IF(AND(Comments!B735='Policy card'!$C$3,Comments!N735="Open"),1,0)</f>
        <v>0</v>
      </c>
      <c r="D737" s="0" t="str">
        <f aca="false">IF(C737=1,E737,IF(P737=1,$E$2003+Q737,""))</f>
        <v/>
      </c>
      <c r="E737" s="0" t="n">
        <f aca="false">E736+C737</f>
        <v>0</v>
      </c>
      <c r="P737" s="0" t="n">
        <f aca="false">IF(AND(Comments!B735='Policy card'!$C$3,Comments!N735="Closed"),1,0)</f>
        <v>0</v>
      </c>
      <c r="Q737" s="0" t="n">
        <f aca="false">Q736+P737</f>
        <v>7</v>
      </c>
    </row>
    <row r="738" customFormat="false" ht="15" hidden="false" customHeight="false" outlineLevel="0" collapsed="false">
      <c r="C738" s="0" t="n">
        <f aca="false">IF(AND(Comments!B736='Policy card'!$C$3,Comments!N736="Open"),1,0)</f>
        <v>0</v>
      </c>
      <c r="D738" s="0" t="str">
        <f aca="false">IF(C738=1,E738,IF(P738=1,$E$2003+Q738,""))</f>
        <v/>
      </c>
      <c r="E738" s="0" t="n">
        <f aca="false">E737+C738</f>
        <v>0</v>
      </c>
      <c r="P738" s="0" t="n">
        <f aca="false">IF(AND(Comments!B736='Policy card'!$C$3,Comments!N736="Closed"),1,0)</f>
        <v>0</v>
      </c>
      <c r="Q738" s="0" t="n">
        <f aca="false">Q737+P738</f>
        <v>7</v>
      </c>
    </row>
    <row r="739" customFormat="false" ht="15" hidden="false" customHeight="false" outlineLevel="0" collapsed="false">
      <c r="C739" s="0" t="n">
        <f aca="false">IF(AND(Comments!B737='Policy card'!$C$3,Comments!N737="Open"),1,0)</f>
        <v>0</v>
      </c>
      <c r="D739" s="0" t="str">
        <f aca="false">IF(C739=1,E739,IF(P739=1,$E$2003+Q739,""))</f>
        <v/>
      </c>
      <c r="E739" s="0" t="n">
        <f aca="false">E738+C739</f>
        <v>0</v>
      </c>
      <c r="P739" s="0" t="n">
        <f aca="false">IF(AND(Comments!B737='Policy card'!$C$3,Comments!N737="Closed"),1,0)</f>
        <v>0</v>
      </c>
      <c r="Q739" s="0" t="n">
        <f aca="false">Q738+P739</f>
        <v>7</v>
      </c>
    </row>
    <row r="740" customFormat="false" ht="15" hidden="false" customHeight="false" outlineLevel="0" collapsed="false">
      <c r="C740" s="0" t="n">
        <f aca="false">IF(AND(Comments!B738='Policy card'!$C$3,Comments!N738="Open"),1,0)</f>
        <v>0</v>
      </c>
      <c r="D740" s="0" t="str">
        <f aca="false">IF(C740=1,E740,IF(P740=1,$E$2003+Q740,""))</f>
        <v/>
      </c>
      <c r="E740" s="0" t="n">
        <f aca="false">E739+C740</f>
        <v>0</v>
      </c>
      <c r="P740" s="0" t="n">
        <f aca="false">IF(AND(Comments!B738='Policy card'!$C$3,Comments!N738="Closed"),1,0)</f>
        <v>0</v>
      </c>
      <c r="Q740" s="0" t="n">
        <f aca="false">Q739+P740</f>
        <v>7</v>
      </c>
    </row>
    <row r="741" customFormat="false" ht="15" hidden="false" customHeight="false" outlineLevel="0" collapsed="false">
      <c r="C741" s="0" t="n">
        <f aca="false">IF(AND(Comments!B739='Policy card'!$C$3,Comments!N739="Open"),1,0)</f>
        <v>0</v>
      </c>
      <c r="D741" s="0" t="str">
        <f aca="false">IF(C741=1,E741,IF(P741=1,$E$2003+Q741,""))</f>
        <v/>
      </c>
      <c r="E741" s="0" t="n">
        <f aca="false">E740+C741</f>
        <v>0</v>
      </c>
      <c r="P741" s="0" t="n">
        <f aca="false">IF(AND(Comments!B739='Policy card'!$C$3,Comments!N739="Closed"),1,0)</f>
        <v>0</v>
      </c>
      <c r="Q741" s="0" t="n">
        <f aca="false">Q740+P741</f>
        <v>7</v>
      </c>
    </row>
    <row r="742" customFormat="false" ht="15" hidden="false" customHeight="false" outlineLevel="0" collapsed="false">
      <c r="C742" s="0" t="n">
        <f aca="false">IF(AND(Comments!B740='Policy card'!$C$3,Comments!N740="Open"),1,0)</f>
        <v>0</v>
      </c>
      <c r="D742" s="0" t="str">
        <f aca="false">IF(C742=1,E742,IF(P742=1,$E$2003+Q742,""))</f>
        <v/>
      </c>
      <c r="E742" s="0" t="n">
        <f aca="false">E741+C742</f>
        <v>0</v>
      </c>
      <c r="P742" s="0" t="n">
        <f aca="false">IF(AND(Comments!B740='Policy card'!$C$3,Comments!N740="Closed"),1,0)</f>
        <v>0</v>
      </c>
      <c r="Q742" s="0" t="n">
        <f aca="false">Q741+P742</f>
        <v>7</v>
      </c>
    </row>
    <row r="743" customFormat="false" ht="15" hidden="false" customHeight="false" outlineLevel="0" collapsed="false">
      <c r="C743" s="0" t="n">
        <f aca="false">IF(AND(Comments!B741='Policy card'!$C$3,Comments!N741="Open"),1,0)</f>
        <v>0</v>
      </c>
      <c r="D743" s="0" t="str">
        <f aca="false">IF(C743=1,E743,IF(P743=1,$E$2003+Q743,""))</f>
        <v/>
      </c>
      <c r="E743" s="0" t="n">
        <f aca="false">E742+C743</f>
        <v>0</v>
      </c>
      <c r="P743" s="0" t="n">
        <f aca="false">IF(AND(Comments!B741='Policy card'!$C$3,Comments!N741="Closed"),1,0)</f>
        <v>0</v>
      </c>
      <c r="Q743" s="0" t="n">
        <f aca="false">Q742+P743</f>
        <v>7</v>
      </c>
    </row>
    <row r="744" customFormat="false" ht="15" hidden="false" customHeight="false" outlineLevel="0" collapsed="false">
      <c r="C744" s="0" t="n">
        <f aca="false">IF(AND(Comments!B742='Policy card'!$C$3,Comments!N742="Open"),1,0)</f>
        <v>0</v>
      </c>
      <c r="D744" s="0" t="str">
        <f aca="false">IF(C744=1,E744,IF(P744=1,$E$2003+Q744,""))</f>
        <v/>
      </c>
      <c r="E744" s="0" t="n">
        <f aca="false">E743+C744</f>
        <v>0</v>
      </c>
      <c r="P744" s="0" t="n">
        <f aca="false">IF(AND(Comments!B742='Policy card'!$C$3,Comments!N742="Closed"),1,0)</f>
        <v>0</v>
      </c>
      <c r="Q744" s="0" t="n">
        <f aca="false">Q743+P744</f>
        <v>7</v>
      </c>
    </row>
    <row r="745" customFormat="false" ht="15" hidden="false" customHeight="false" outlineLevel="0" collapsed="false">
      <c r="C745" s="0" t="n">
        <f aca="false">IF(AND(Comments!B743='Policy card'!$C$3,Comments!N743="Open"),1,0)</f>
        <v>0</v>
      </c>
      <c r="D745" s="0" t="str">
        <f aca="false">IF(C745=1,E745,IF(P745=1,$E$2003+Q745,""))</f>
        <v/>
      </c>
      <c r="E745" s="0" t="n">
        <f aca="false">E744+C745</f>
        <v>0</v>
      </c>
      <c r="P745" s="0" t="n">
        <f aca="false">IF(AND(Comments!B743='Policy card'!$C$3,Comments!N743="Closed"),1,0)</f>
        <v>0</v>
      </c>
      <c r="Q745" s="0" t="n">
        <f aca="false">Q744+P745</f>
        <v>7</v>
      </c>
    </row>
    <row r="746" customFormat="false" ht="15" hidden="false" customHeight="false" outlineLevel="0" collapsed="false">
      <c r="C746" s="0" t="n">
        <f aca="false">IF(AND(Comments!B744='Policy card'!$C$3,Comments!N744="Open"),1,0)</f>
        <v>0</v>
      </c>
      <c r="D746" s="0" t="str">
        <f aca="false">IF(C746=1,E746,IF(P746=1,$E$2003+Q746,""))</f>
        <v/>
      </c>
      <c r="E746" s="0" t="n">
        <f aca="false">E745+C746</f>
        <v>0</v>
      </c>
      <c r="P746" s="0" t="n">
        <f aca="false">IF(AND(Comments!B744='Policy card'!$C$3,Comments!N744="Closed"),1,0)</f>
        <v>0</v>
      </c>
      <c r="Q746" s="0" t="n">
        <f aca="false">Q745+P746</f>
        <v>7</v>
      </c>
    </row>
    <row r="747" customFormat="false" ht="15" hidden="false" customHeight="false" outlineLevel="0" collapsed="false">
      <c r="C747" s="0" t="n">
        <f aca="false">IF(AND(Comments!B745='Policy card'!$C$3,Comments!N745="Open"),1,0)</f>
        <v>0</v>
      </c>
      <c r="D747" s="0" t="str">
        <f aca="false">IF(C747=1,E747,IF(P747=1,$E$2003+Q747,""))</f>
        <v/>
      </c>
      <c r="E747" s="0" t="n">
        <f aca="false">E746+C747</f>
        <v>0</v>
      </c>
      <c r="P747" s="0" t="n">
        <f aca="false">IF(AND(Comments!B745='Policy card'!$C$3,Comments!N745="Closed"),1,0)</f>
        <v>0</v>
      </c>
      <c r="Q747" s="0" t="n">
        <f aca="false">Q746+P747</f>
        <v>7</v>
      </c>
    </row>
    <row r="748" customFormat="false" ht="15" hidden="false" customHeight="false" outlineLevel="0" collapsed="false">
      <c r="C748" s="0" t="n">
        <f aca="false">IF(AND(Comments!B746='Policy card'!$C$3,Comments!N746="Open"),1,0)</f>
        <v>0</v>
      </c>
      <c r="D748" s="0" t="str">
        <f aca="false">IF(C748=1,E748,IF(P748=1,$E$2003+Q748,""))</f>
        <v/>
      </c>
      <c r="E748" s="0" t="n">
        <f aca="false">E747+C748</f>
        <v>0</v>
      </c>
      <c r="P748" s="0" t="n">
        <f aca="false">IF(AND(Comments!B746='Policy card'!$C$3,Comments!N746="Closed"),1,0)</f>
        <v>0</v>
      </c>
      <c r="Q748" s="0" t="n">
        <f aca="false">Q747+P748</f>
        <v>7</v>
      </c>
    </row>
    <row r="749" customFormat="false" ht="15" hidden="false" customHeight="false" outlineLevel="0" collapsed="false">
      <c r="C749" s="0" t="n">
        <f aca="false">IF(AND(Comments!B747='Policy card'!$C$3,Comments!N747="Open"),1,0)</f>
        <v>0</v>
      </c>
      <c r="D749" s="0" t="str">
        <f aca="false">IF(C749=1,E749,IF(P749=1,$E$2003+Q749,""))</f>
        <v/>
      </c>
      <c r="E749" s="0" t="n">
        <f aca="false">E748+C749</f>
        <v>0</v>
      </c>
      <c r="P749" s="0" t="n">
        <f aca="false">IF(AND(Comments!B747='Policy card'!$C$3,Comments!N747="Closed"),1,0)</f>
        <v>0</v>
      </c>
      <c r="Q749" s="0" t="n">
        <f aca="false">Q748+P749</f>
        <v>7</v>
      </c>
    </row>
    <row r="750" customFormat="false" ht="15" hidden="false" customHeight="false" outlineLevel="0" collapsed="false">
      <c r="C750" s="0" t="n">
        <f aca="false">IF(AND(Comments!B748='Policy card'!$C$3,Comments!N748="Open"),1,0)</f>
        <v>0</v>
      </c>
      <c r="D750" s="0" t="str">
        <f aca="false">IF(C750=1,E750,IF(P750=1,$E$2003+Q750,""))</f>
        <v/>
      </c>
      <c r="E750" s="0" t="n">
        <f aca="false">E749+C750</f>
        <v>0</v>
      </c>
      <c r="P750" s="0" t="n">
        <f aca="false">IF(AND(Comments!B748='Policy card'!$C$3,Comments!N748="Closed"),1,0)</f>
        <v>0</v>
      </c>
      <c r="Q750" s="0" t="n">
        <f aca="false">Q749+P750</f>
        <v>7</v>
      </c>
    </row>
    <row r="751" customFormat="false" ht="15" hidden="false" customHeight="false" outlineLevel="0" collapsed="false">
      <c r="C751" s="0" t="n">
        <f aca="false">IF(AND(Comments!B749='Policy card'!$C$3,Comments!N749="Open"),1,0)</f>
        <v>0</v>
      </c>
      <c r="D751" s="0" t="str">
        <f aca="false">IF(C751=1,E751,IF(P751=1,$E$2003+Q751,""))</f>
        <v/>
      </c>
      <c r="E751" s="0" t="n">
        <f aca="false">E750+C751</f>
        <v>0</v>
      </c>
      <c r="P751" s="0" t="n">
        <f aca="false">IF(AND(Comments!B749='Policy card'!$C$3,Comments!N749="Closed"),1,0)</f>
        <v>0</v>
      </c>
      <c r="Q751" s="0" t="n">
        <f aca="false">Q750+P751</f>
        <v>7</v>
      </c>
    </row>
    <row r="752" customFormat="false" ht="15" hidden="false" customHeight="false" outlineLevel="0" collapsed="false">
      <c r="C752" s="0" t="n">
        <f aca="false">IF(AND(Comments!B750='Policy card'!$C$3,Comments!N750="Open"),1,0)</f>
        <v>0</v>
      </c>
      <c r="D752" s="0" t="str">
        <f aca="false">IF(C752=1,E752,IF(P752=1,$E$2003+Q752,""))</f>
        <v/>
      </c>
      <c r="E752" s="0" t="n">
        <f aca="false">E751+C752</f>
        <v>0</v>
      </c>
      <c r="P752" s="0" t="n">
        <f aca="false">IF(AND(Comments!B750='Policy card'!$C$3,Comments!N750="Closed"),1,0)</f>
        <v>0</v>
      </c>
      <c r="Q752" s="0" t="n">
        <f aca="false">Q751+P752</f>
        <v>7</v>
      </c>
    </row>
    <row r="753" customFormat="false" ht="15" hidden="false" customHeight="false" outlineLevel="0" collapsed="false">
      <c r="C753" s="0" t="n">
        <f aca="false">IF(AND(Comments!B751='Policy card'!$C$3,Comments!N751="Open"),1,0)</f>
        <v>0</v>
      </c>
      <c r="D753" s="0" t="str">
        <f aca="false">IF(C753=1,E753,IF(P753=1,$E$2003+Q753,""))</f>
        <v/>
      </c>
      <c r="E753" s="0" t="n">
        <f aca="false">E752+C753</f>
        <v>0</v>
      </c>
      <c r="P753" s="0" t="n">
        <f aca="false">IF(AND(Comments!B751='Policy card'!$C$3,Comments!N751="Closed"),1,0)</f>
        <v>0</v>
      </c>
      <c r="Q753" s="0" t="n">
        <f aca="false">Q752+P753</f>
        <v>7</v>
      </c>
    </row>
    <row r="754" customFormat="false" ht="15" hidden="false" customHeight="false" outlineLevel="0" collapsed="false">
      <c r="C754" s="0" t="n">
        <f aca="false">IF(AND(Comments!B752='Policy card'!$C$3,Comments!N752="Open"),1,0)</f>
        <v>0</v>
      </c>
      <c r="D754" s="0" t="str">
        <f aca="false">IF(C754=1,E754,IF(P754=1,$E$2003+Q754,""))</f>
        <v/>
      </c>
      <c r="E754" s="0" t="n">
        <f aca="false">E753+C754</f>
        <v>0</v>
      </c>
      <c r="P754" s="0" t="n">
        <f aca="false">IF(AND(Comments!B752='Policy card'!$C$3,Comments!N752="Closed"),1,0)</f>
        <v>0</v>
      </c>
      <c r="Q754" s="0" t="n">
        <f aca="false">Q753+P754</f>
        <v>7</v>
      </c>
    </row>
    <row r="755" customFormat="false" ht="15" hidden="false" customHeight="false" outlineLevel="0" collapsed="false">
      <c r="C755" s="0" t="n">
        <f aca="false">IF(AND(Comments!B753='Policy card'!$C$3,Comments!N753="Open"),1,0)</f>
        <v>0</v>
      </c>
      <c r="D755" s="0" t="str">
        <f aca="false">IF(C755=1,E755,IF(P755=1,$E$2003+Q755,""))</f>
        <v/>
      </c>
      <c r="E755" s="0" t="n">
        <f aca="false">E754+C755</f>
        <v>0</v>
      </c>
      <c r="P755" s="0" t="n">
        <f aca="false">IF(AND(Comments!B753='Policy card'!$C$3,Comments!N753="Closed"),1,0)</f>
        <v>0</v>
      </c>
      <c r="Q755" s="0" t="n">
        <f aca="false">Q754+P755</f>
        <v>7</v>
      </c>
    </row>
    <row r="756" customFormat="false" ht="15" hidden="false" customHeight="false" outlineLevel="0" collapsed="false">
      <c r="C756" s="0" t="n">
        <f aca="false">IF(AND(Comments!B754='Policy card'!$C$3,Comments!N754="Open"),1,0)</f>
        <v>0</v>
      </c>
      <c r="D756" s="0" t="str">
        <f aca="false">IF(C756=1,E756,IF(P756=1,$E$2003+Q756,""))</f>
        <v/>
      </c>
      <c r="E756" s="0" t="n">
        <f aca="false">E755+C756</f>
        <v>0</v>
      </c>
      <c r="P756" s="0" t="n">
        <f aca="false">IF(AND(Comments!B754='Policy card'!$C$3,Comments!N754="Closed"),1,0)</f>
        <v>0</v>
      </c>
      <c r="Q756" s="0" t="n">
        <f aca="false">Q755+P756</f>
        <v>7</v>
      </c>
    </row>
    <row r="757" customFormat="false" ht="15" hidden="false" customHeight="false" outlineLevel="0" collapsed="false">
      <c r="C757" s="0" t="n">
        <f aca="false">IF(AND(Comments!B755='Policy card'!$C$3,Comments!N755="Open"),1,0)</f>
        <v>0</v>
      </c>
      <c r="D757" s="0" t="str">
        <f aca="false">IF(C757=1,E757,IF(P757=1,$E$2003+Q757,""))</f>
        <v/>
      </c>
      <c r="E757" s="0" t="n">
        <f aca="false">E756+C757</f>
        <v>0</v>
      </c>
      <c r="P757" s="0" t="n">
        <f aca="false">IF(AND(Comments!B755='Policy card'!$C$3,Comments!N755="Closed"),1,0)</f>
        <v>0</v>
      </c>
      <c r="Q757" s="0" t="n">
        <f aca="false">Q756+P757</f>
        <v>7</v>
      </c>
    </row>
    <row r="758" customFormat="false" ht="15" hidden="false" customHeight="false" outlineLevel="0" collapsed="false">
      <c r="C758" s="0" t="n">
        <f aca="false">IF(AND(Comments!B756='Policy card'!$C$3,Comments!N756="Open"),1,0)</f>
        <v>0</v>
      </c>
      <c r="D758" s="0" t="str">
        <f aca="false">IF(C758=1,E758,IF(P758=1,$E$2003+Q758,""))</f>
        <v/>
      </c>
      <c r="E758" s="0" t="n">
        <f aca="false">E757+C758</f>
        <v>0</v>
      </c>
      <c r="P758" s="0" t="n">
        <f aca="false">IF(AND(Comments!B756='Policy card'!$C$3,Comments!N756="Closed"),1,0)</f>
        <v>0</v>
      </c>
      <c r="Q758" s="0" t="n">
        <f aca="false">Q757+P758</f>
        <v>7</v>
      </c>
    </row>
    <row r="759" customFormat="false" ht="15" hidden="false" customHeight="false" outlineLevel="0" collapsed="false">
      <c r="C759" s="0" t="n">
        <f aca="false">IF(AND(Comments!B757='Policy card'!$C$3,Comments!N757="Open"),1,0)</f>
        <v>0</v>
      </c>
      <c r="D759" s="0" t="str">
        <f aca="false">IF(C759=1,E759,IF(P759=1,$E$2003+Q759,""))</f>
        <v/>
      </c>
      <c r="E759" s="0" t="n">
        <f aca="false">E758+C759</f>
        <v>0</v>
      </c>
      <c r="P759" s="0" t="n">
        <f aca="false">IF(AND(Comments!B757='Policy card'!$C$3,Comments!N757="Closed"),1,0)</f>
        <v>0</v>
      </c>
      <c r="Q759" s="0" t="n">
        <f aca="false">Q758+P759</f>
        <v>7</v>
      </c>
    </row>
    <row r="760" customFormat="false" ht="15" hidden="false" customHeight="false" outlineLevel="0" collapsed="false">
      <c r="C760" s="0" t="n">
        <f aca="false">IF(AND(Comments!B758='Policy card'!$C$3,Comments!N758="Open"),1,0)</f>
        <v>0</v>
      </c>
      <c r="D760" s="0" t="str">
        <f aca="false">IF(C760=1,E760,IF(P760=1,$E$2003+Q760,""))</f>
        <v/>
      </c>
      <c r="E760" s="0" t="n">
        <f aca="false">E759+C760</f>
        <v>0</v>
      </c>
      <c r="P760" s="0" t="n">
        <f aca="false">IF(AND(Comments!B758='Policy card'!$C$3,Comments!N758="Closed"),1,0)</f>
        <v>0</v>
      </c>
      <c r="Q760" s="0" t="n">
        <f aca="false">Q759+P760</f>
        <v>7</v>
      </c>
    </row>
    <row r="761" customFormat="false" ht="15" hidden="false" customHeight="false" outlineLevel="0" collapsed="false">
      <c r="C761" s="0" t="n">
        <f aca="false">IF(AND(Comments!B759='Policy card'!$C$3,Comments!N759="Open"),1,0)</f>
        <v>0</v>
      </c>
      <c r="D761" s="0" t="str">
        <f aca="false">IF(C761=1,E761,IF(P761=1,$E$2003+Q761,""))</f>
        <v/>
      </c>
      <c r="E761" s="0" t="n">
        <f aca="false">E760+C761</f>
        <v>0</v>
      </c>
      <c r="P761" s="0" t="n">
        <f aca="false">IF(AND(Comments!B759='Policy card'!$C$3,Comments!N759="Closed"),1,0)</f>
        <v>0</v>
      </c>
      <c r="Q761" s="0" t="n">
        <f aca="false">Q760+P761</f>
        <v>7</v>
      </c>
    </row>
    <row r="762" customFormat="false" ht="15" hidden="false" customHeight="false" outlineLevel="0" collapsed="false">
      <c r="C762" s="0" t="n">
        <f aca="false">IF(AND(Comments!B760='Policy card'!$C$3,Comments!N760="Open"),1,0)</f>
        <v>0</v>
      </c>
      <c r="D762" s="0" t="str">
        <f aca="false">IF(C762=1,E762,IF(P762=1,$E$2003+Q762,""))</f>
        <v/>
      </c>
      <c r="E762" s="0" t="n">
        <f aca="false">E761+C762</f>
        <v>0</v>
      </c>
      <c r="P762" s="0" t="n">
        <f aca="false">IF(AND(Comments!B760='Policy card'!$C$3,Comments!N760="Closed"),1,0)</f>
        <v>0</v>
      </c>
      <c r="Q762" s="0" t="n">
        <f aca="false">Q761+P762</f>
        <v>7</v>
      </c>
    </row>
    <row r="763" customFormat="false" ht="15" hidden="false" customHeight="false" outlineLevel="0" collapsed="false">
      <c r="C763" s="0" t="n">
        <f aca="false">IF(AND(Comments!B761='Policy card'!$C$3,Comments!N761="Open"),1,0)</f>
        <v>0</v>
      </c>
      <c r="D763" s="0" t="str">
        <f aca="false">IF(C763=1,E763,IF(P763=1,$E$2003+Q763,""))</f>
        <v/>
      </c>
      <c r="E763" s="0" t="n">
        <f aca="false">E762+C763</f>
        <v>0</v>
      </c>
      <c r="P763" s="0" t="n">
        <f aca="false">IF(AND(Comments!B761='Policy card'!$C$3,Comments!N761="Closed"),1,0)</f>
        <v>0</v>
      </c>
      <c r="Q763" s="0" t="n">
        <f aca="false">Q762+P763</f>
        <v>7</v>
      </c>
    </row>
    <row r="764" customFormat="false" ht="15" hidden="false" customHeight="false" outlineLevel="0" collapsed="false">
      <c r="C764" s="0" t="n">
        <f aca="false">IF(AND(Comments!B762='Policy card'!$C$3,Comments!N762="Open"),1,0)</f>
        <v>0</v>
      </c>
      <c r="D764" s="0" t="str">
        <f aca="false">IF(C764=1,E764,IF(P764=1,$E$2003+Q764,""))</f>
        <v/>
      </c>
      <c r="E764" s="0" t="n">
        <f aca="false">E763+C764</f>
        <v>0</v>
      </c>
      <c r="P764" s="0" t="n">
        <f aca="false">IF(AND(Comments!B762='Policy card'!$C$3,Comments!N762="Closed"),1,0)</f>
        <v>0</v>
      </c>
      <c r="Q764" s="0" t="n">
        <f aca="false">Q763+P764</f>
        <v>7</v>
      </c>
    </row>
    <row r="765" customFormat="false" ht="15" hidden="false" customHeight="false" outlineLevel="0" collapsed="false">
      <c r="C765" s="0" t="n">
        <f aca="false">IF(AND(Comments!B763='Policy card'!$C$3,Comments!N763="Open"),1,0)</f>
        <v>0</v>
      </c>
      <c r="D765" s="0" t="str">
        <f aca="false">IF(C765=1,E765,IF(P765=1,$E$2003+Q765,""))</f>
        <v/>
      </c>
      <c r="E765" s="0" t="n">
        <f aca="false">E764+C765</f>
        <v>0</v>
      </c>
      <c r="P765" s="0" t="n">
        <f aca="false">IF(AND(Comments!B763='Policy card'!$C$3,Comments!N763="Closed"),1,0)</f>
        <v>0</v>
      </c>
      <c r="Q765" s="0" t="n">
        <f aca="false">Q764+P765</f>
        <v>7</v>
      </c>
    </row>
    <row r="766" customFormat="false" ht="15" hidden="false" customHeight="false" outlineLevel="0" collapsed="false">
      <c r="C766" s="0" t="n">
        <f aca="false">IF(AND(Comments!B764='Policy card'!$C$3,Comments!N764="Open"),1,0)</f>
        <v>0</v>
      </c>
      <c r="D766" s="0" t="str">
        <f aca="false">IF(C766=1,E766,IF(P766=1,$E$2003+Q766,""))</f>
        <v/>
      </c>
      <c r="E766" s="0" t="n">
        <f aca="false">E765+C766</f>
        <v>0</v>
      </c>
      <c r="P766" s="0" t="n">
        <f aca="false">IF(AND(Comments!B764='Policy card'!$C$3,Comments!N764="Closed"),1,0)</f>
        <v>0</v>
      </c>
      <c r="Q766" s="0" t="n">
        <f aca="false">Q765+P766</f>
        <v>7</v>
      </c>
    </row>
    <row r="767" customFormat="false" ht="15" hidden="false" customHeight="false" outlineLevel="0" collapsed="false">
      <c r="C767" s="0" t="n">
        <f aca="false">IF(AND(Comments!B765='Policy card'!$C$3,Comments!N765="Open"),1,0)</f>
        <v>0</v>
      </c>
      <c r="D767" s="0" t="str">
        <f aca="false">IF(C767=1,E767,IF(P767=1,$E$2003+Q767,""))</f>
        <v/>
      </c>
      <c r="E767" s="0" t="n">
        <f aca="false">E766+C767</f>
        <v>0</v>
      </c>
      <c r="P767" s="0" t="n">
        <f aca="false">IF(AND(Comments!B765='Policy card'!$C$3,Comments!N765="Closed"),1,0)</f>
        <v>0</v>
      </c>
      <c r="Q767" s="0" t="n">
        <f aca="false">Q766+P767</f>
        <v>7</v>
      </c>
    </row>
    <row r="768" customFormat="false" ht="15" hidden="false" customHeight="false" outlineLevel="0" collapsed="false">
      <c r="C768" s="0" t="n">
        <f aca="false">IF(AND(Comments!B766='Policy card'!$C$3,Comments!N766="Open"),1,0)</f>
        <v>0</v>
      </c>
      <c r="D768" s="0" t="str">
        <f aca="false">IF(C768=1,E768,IF(P768=1,$E$2003+Q768,""))</f>
        <v/>
      </c>
      <c r="E768" s="0" t="n">
        <f aca="false">E767+C768</f>
        <v>0</v>
      </c>
      <c r="P768" s="0" t="n">
        <f aca="false">IF(AND(Comments!B766='Policy card'!$C$3,Comments!N766="Closed"),1,0)</f>
        <v>0</v>
      </c>
      <c r="Q768" s="0" t="n">
        <f aca="false">Q767+P768</f>
        <v>7</v>
      </c>
    </row>
    <row r="769" customFormat="false" ht="15" hidden="false" customHeight="false" outlineLevel="0" collapsed="false">
      <c r="C769" s="0" t="n">
        <f aca="false">IF(AND(Comments!B767='Policy card'!$C$3,Comments!N767="Open"),1,0)</f>
        <v>0</v>
      </c>
      <c r="D769" s="0" t="str">
        <f aca="false">IF(C769=1,E769,IF(P769=1,$E$2003+Q769,""))</f>
        <v/>
      </c>
      <c r="E769" s="0" t="n">
        <f aca="false">E768+C769</f>
        <v>0</v>
      </c>
      <c r="P769" s="0" t="n">
        <f aca="false">IF(AND(Comments!B767='Policy card'!$C$3,Comments!N767="Closed"),1,0)</f>
        <v>0</v>
      </c>
      <c r="Q769" s="0" t="n">
        <f aca="false">Q768+P769</f>
        <v>7</v>
      </c>
    </row>
    <row r="770" customFormat="false" ht="15" hidden="false" customHeight="false" outlineLevel="0" collapsed="false">
      <c r="C770" s="0" t="n">
        <f aca="false">IF(AND(Comments!B768='Policy card'!$C$3,Comments!N768="Open"),1,0)</f>
        <v>0</v>
      </c>
      <c r="D770" s="0" t="str">
        <f aca="false">IF(C770=1,E770,IF(P770=1,$E$2003+Q770,""))</f>
        <v/>
      </c>
      <c r="E770" s="0" t="n">
        <f aca="false">E769+C770</f>
        <v>0</v>
      </c>
      <c r="P770" s="0" t="n">
        <f aca="false">IF(AND(Comments!B768='Policy card'!$C$3,Comments!N768="Closed"),1,0)</f>
        <v>0</v>
      </c>
      <c r="Q770" s="0" t="n">
        <f aca="false">Q769+P770</f>
        <v>7</v>
      </c>
    </row>
    <row r="771" customFormat="false" ht="15" hidden="false" customHeight="false" outlineLevel="0" collapsed="false">
      <c r="C771" s="0" t="n">
        <f aca="false">IF(AND(Comments!B769='Policy card'!$C$3,Comments!N769="Open"),1,0)</f>
        <v>0</v>
      </c>
      <c r="D771" s="0" t="str">
        <f aca="false">IF(C771=1,E771,IF(P771=1,$E$2003+Q771,""))</f>
        <v/>
      </c>
      <c r="E771" s="0" t="n">
        <f aca="false">E770+C771</f>
        <v>0</v>
      </c>
      <c r="P771" s="0" t="n">
        <f aca="false">IF(AND(Comments!B769='Policy card'!$C$3,Comments!N769="Closed"),1,0)</f>
        <v>0</v>
      </c>
      <c r="Q771" s="0" t="n">
        <f aca="false">Q770+P771</f>
        <v>7</v>
      </c>
    </row>
    <row r="772" customFormat="false" ht="15" hidden="false" customHeight="false" outlineLevel="0" collapsed="false">
      <c r="C772" s="0" t="n">
        <f aca="false">IF(AND(Comments!B770='Policy card'!$C$3,Comments!N770="Open"),1,0)</f>
        <v>0</v>
      </c>
      <c r="D772" s="0" t="str">
        <f aca="false">IF(C772=1,E772,IF(P772=1,$E$2003+Q772,""))</f>
        <v/>
      </c>
      <c r="E772" s="0" t="n">
        <f aca="false">E771+C772</f>
        <v>0</v>
      </c>
      <c r="P772" s="0" t="n">
        <f aca="false">IF(AND(Comments!B770='Policy card'!$C$3,Comments!N770="Closed"),1,0)</f>
        <v>0</v>
      </c>
      <c r="Q772" s="0" t="n">
        <f aca="false">Q771+P772</f>
        <v>7</v>
      </c>
    </row>
    <row r="773" customFormat="false" ht="15" hidden="false" customHeight="false" outlineLevel="0" collapsed="false">
      <c r="C773" s="0" t="n">
        <f aca="false">IF(AND(Comments!B771='Policy card'!$C$3,Comments!N771="Open"),1,0)</f>
        <v>0</v>
      </c>
      <c r="D773" s="0" t="str">
        <f aca="false">IF(C773=1,E773,IF(P773=1,$E$2003+Q773,""))</f>
        <v/>
      </c>
      <c r="E773" s="0" t="n">
        <f aca="false">E772+C773</f>
        <v>0</v>
      </c>
      <c r="P773" s="0" t="n">
        <f aca="false">IF(AND(Comments!B771='Policy card'!$C$3,Comments!N771="Closed"),1,0)</f>
        <v>0</v>
      </c>
      <c r="Q773" s="0" t="n">
        <f aca="false">Q772+P773</f>
        <v>7</v>
      </c>
    </row>
    <row r="774" customFormat="false" ht="15" hidden="false" customHeight="false" outlineLevel="0" collapsed="false">
      <c r="C774" s="0" t="n">
        <f aca="false">IF(AND(Comments!B772='Policy card'!$C$3,Comments!N772="Open"),1,0)</f>
        <v>0</v>
      </c>
      <c r="D774" s="0" t="str">
        <f aca="false">IF(C774=1,E774,IF(P774=1,$E$2003+Q774,""))</f>
        <v/>
      </c>
      <c r="E774" s="0" t="n">
        <f aca="false">E773+C774</f>
        <v>0</v>
      </c>
      <c r="P774" s="0" t="n">
        <f aca="false">IF(AND(Comments!B772='Policy card'!$C$3,Comments!N772="Closed"),1,0)</f>
        <v>0</v>
      </c>
      <c r="Q774" s="0" t="n">
        <f aca="false">Q773+P774</f>
        <v>7</v>
      </c>
    </row>
    <row r="775" customFormat="false" ht="15" hidden="false" customHeight="false" outlineLevel="0" collapsed="false">
      <c r="C775" s="0" t="n">
        <f aca="false">IF(AND(Comments!B773='Policy card'!$C$3,Comments!N773="Open"),1,0)</f>
        <v>0</v>
      </c>
      <c r="D775" s="0" t="str">
        <f aca="false">IF(C775=1,E775,IF(P775=1,$E$2003+Q775,""))</f>
        <v/>
      </c>
      <c r="E775" s="0" t="n">
        <f aca="false">E774+C775</f>
        <v>0</v>
      </c>
      <c r="P775" s="0" t="n">
        <f aca="false">IF(AND(Comments!B773='Policy card'!$C$3,Comments!N773="Closed"),1,0)</f>
        <v>0</v>
      </c>
      <c r="Q775" s="0" t="n">
        <f aca="false">Q774+P775</f>
        <v>7</v>
      </c>
    </row>
    <row r="776" customFormat="false" ht="15" hidden="false" customHeight="false" outlineLevel="0" collapsed="false">
      <c r="C776" s="0" t="n">
        <f aca="false">IF(AND(Comments!B774='Policy card'!$C$3,Comments!N774="Open"),1,0)</f>
        <v>0</v>
      </c>
      <c r="D776" s="0" t="str">
        <f aca="false">IF(C776=1,E776,IF(P776=1,$E$2003+Q776,""))</f>
        <v/>
      </c>
      <c r="E776" s="0" t="n">
        <f aca="false">E775+C776</f>
        <v>0</v>
      </c>
      <c r="P776" s="0" t="n">
        <f aca="false">IF(AND(Comments!B774='Policy card'!$C$3,Comments!N774="Closed"),1,0)</f>
        <v>0</v>
      </c>
      <c r="Q776" s="0" t="n">
        <f aca="false">Q775+P776</f>
        <v>7</v>
      </c>
    </row>
    <row r="777" customFormat="false" ht="15" hidden="false" customHeight="false" outlineLevel="0" collapsed="false">
      <c r="C777" s="0" t="n">
        <f aca="false">IF(AND(Comments!B775='Policy card'!$C$3,Comments!N775="Open"),1,0)</f>
        <v>0</v>
      </c>
      <c r="D777" s="0" t="str">
        <f aca="false">IF(C777=1,E777,IF(P777=1,$E$2003+Q777,""))</f>
        <v/>
      </c>
      <c r="E777" s="0" t="n">
        <f aca="false">E776+C777</f>
        <v>0</v>
      </c>
      <c r="P777" s="0" t="n">
        <f aca="false">IF(AND(Comments!B775='Policy card'!$C$3,Comments!N775="Closed"),1,0)</f>
        <v>0</v>
      </c>
      <c r="Q777" s="0" t="n">
        <f aca="false">Q776+P777</f>
        <v>7</v>
      </c>
    </row>
    <row r="778" customFormat="false" ht="15" hidden="false" customHeight="false" outlineLevel="0" collapsed="false">
      <c r="C778" s="0" t="n">
        <f aca="false">IF(AND(Comments!B776='Policy card'!$C$3,Comments!N776="Open"),1,0)</f>
        <v>0</v>
      </c>
      <c r="D778" s="0" t="str">
        <f aca="false">IF(C778=1,E778,IF(P778=1,$E$2003+Q778,""))</f>
        <v/>
      </c>
      <c r="E778" s="0" t="n">
        <f aca="false">E777+C778</f>
        <v>0</v>
      </c>
      <c r="P778" s="0" t="n">
        <f aca="false">IF(AND(Comments!B776='Policy card'!$C$3,Comments!N776="Closed"),1,0)</f>
        <v>0</v>
      </c>
      <c r="Q778" s="0" t="n">
        <f aca="false">Q777+P778</f>
        <v>7</v>
      </c>
    </row>
    <row r="779" customFormat="false" ht="15" hidden="false" customHeight="false" outlineLevel="0" collapsed="false">
      <c r="C779" s="0" t="n">
        <f aca="false">IF(AND(Comments!B777='Policy card'!$C$3,Comments!N777="Open"),1,0)</f>
        <v>0</v>
      </c>
      <c r="D779" s="0" t="str">
        <f aca="false">IF(C779=1,E779,IF(P779=1,$E$2003+Q779,""))</f>
        <v/>
      </c>
      <c r="E779" s="0" t="n">
        <f aca="false">E778+C779</f>
        <v>0</v>
      </c>
      <c r="P779" s="0" t="n">
        <f aca="false">IF(AND(Comments!B777='Policy card'!$C$3,Comments!N777="Closed"),1,0)</f>
        <v>0</v>
      </c>
      <c r="Q779" s="0" t="n">
        <f aca="false">Q778+P779</f>
        <v>7</v>
      </c>
    </row>
    <row r="780" customFormat="false" ht="15" hidden="false" customHeight="false" outlineLevel="0" collapsed="false">
      <c r="C780" s="0" t="n">
        <f aca="false">IF(AND(Comments!B778='Policy card'!$C$3,Comments!N778="Open"),1,0)</f>
        <v>0</v>
      </c>
      <c r="D780" s="0" t="str">
        <f aca="false">IF(C780=1,E780,IF(P780=1,$E$2003+Q780,""))</f>
        <v/>
      </c>
      <c r="E780" s="0" t="n">
        <f aca="false">E779+C780</f>
        <v>0</v>
      </c>
      <c r="P780" s="0" t="n">
        <f aca="false">IF(AND(Comments!B778='Policy card'!$C$3,Comments!N778="Closed"),1,0)</f>
        <v>0</v>
      </c>
      <c r="Q780" s="0" t="n">
        <f aca="false">Q779+P780</f>
        <v>7</v>
      </c>
    </row>
    <row r="781" customFormat="false" ht="15" hidden="false" customHeight="false" outlineLevel="0" collapsed="false">
      <c r="C781" s="0" t="n">
        <f aca="false">IF(AND(Comments!B779='Policy card'!$C$3,Comments!N779="Open"),1,0)</f>
        <v>0</v>
      </c>
      <c r="D781" s="0" t="str">
        <f aca="false">IF(C781=1,E781,IF(P781=1,$E$2003+Q781,""))</f>
        <v/>
      </c>
      <c r="E781" s="0" t="n">
        <f aca="false">E780+C781</f>
        <v>0</v>
      </c>
      <c r="P781" s="0" t="n">
        <f aca="false">IF(AND(Comments!B779='Policy card'!$C$3,Comments!N779="Closed"),1,0)</f>
        <v>0</v>
      </c>
      <c r="Q781" s="0" t="n">
        <f aca="false">Q780+P781</f>
        <v>7</v>
      </c>
    </row>
    <row r="782" customFormat="false" ht="15" hidden="false" customHeight="false" outlineLevel="0" collapsed="false">
      <c r="C782" s="0" t="n">
        <f aca="false">IF(AND(Comments!B780='Policy card'!$C$3,Comments!N780="Open"),1,0)</f>
        <v>0</v>
      </c>
      <c r="D782" s="0" t="str">
        <f aca="false">IF(C782=1,E782,IF(P782=1,$E$2003+Q782,""))</f>
        <v/>
      </c>
      <c r="E782" s="0" t="n">
        <f aca="false">E781+C782</f>
        <v>0</v>
      </c>
      <c r="P782" s="0" t="n">
        <f aca="false">IF(AND(Comments!B780='Policy card'!$C$3,Comments!N780="Closed"),1,0)</f>
        <v>0</v>
      </c>
      <c r="Q782" s="0" t="n">
        <f aca="false">Q781+P782</f>
        <v>7</v>
      </c>
    </row>
    <row r="783" customFormat="false" ht="15" hidden="false" customHeight="false" outlineLevel="0" collapsed="false">
      <c r="C783" s="0" t="n">
        <f aca="false">IF(AND(Comments!B781='Policy card'!$C$3,Comments!N781="Open"),1,0)</f>
        <v>0</v>
      </c>
      <c r="D783" s="0" t="str">
        <f aca="false">IF(C783=1,E783,IF(P783=1,$E$2003+Q783,""))</f>
        <v/>
      </c>
      <c r="E783" s="0" t="n">
        <f aca="false">E782+C783</f>
        <v>0</v>
      </c>
      <c r="P783" s="0" t="n">
        <f aca="false">IF(AND(Comments!B781='Policy card'!$C$3,Comments!N781="Closed"),1,0)</f>
        <v>0</v>
      </c>
      <c r="Q783" s="0" t="n">
        <f aca="false">Q782+P783</f>
        <v>7</v>
      </c>
    </row>
    <row r="784" customFormat="false" ht="15" hidden="false" customHeight="false" outlineLevel="0" collapsed="false">
      <c r="C784" s="0" t="n">
        <f aca="false">IF(AND(Comments!B782='Policy card'!$C$3,Comments!N782="Open"),1,0)</f>
        <v>0</v>
      </c>
      <c r="D784" s="0" t="str">
        <f aca="false">IF(C784=1,E784,IF(P784=1,$E$2003+Q784,""))</f>
        <v/>
      </c>
      <c r="E784" s="0" t="n">
        <f aca="false">E783+C784</f>
        <v>0</v>
      </c>
      <c r="P784" s="0" t="n">
        <f aca="false">IF(AND(Comments!B782='Policy card'!$C$3,Comments!N782="Closed"),1,0)</f>
        <v>0</v>
      </c>
      <c r="Q784" s="0" t="n">
        <f aca="false">Q783+P784</f>
        <v>7</v>
      </c>
    </row>
    <row r="785" customFormat="false" ht="15" hidden="false" customHeight="false" outlineLevel="0" collapsed="false">
      <c r="C785" s="0" t="n">
        <f aca="false">IF(AND(Comments!B783='Policy card'!$C$3,Comments!N783="Open"),1,0)</f>
        <v>0</v>
      </c>
      <c r="D785" s="0" t="str">
        <f aca="false">IF(C785=1,E785,IF(P785=1,$E$2003+Q785,""))</f>
        <v/>
      </c>
      <c r="E785" s="0" t="n">
        <f aca="false">E784+C785</f>
        <v>0</v>
      </c>
      <c r="P785" s="0" t="n">
        <f aca="false">IF(AND(Comments!B783='Policy card'!$C$3,Comments!N783="Closed"),1,0)</f>
        <v>0</v>
      </c>
      <c r="Q785" s="0" t="n">
        <f aca="false">Q784+P785</f>
        <v>7</v>
      </c>
    </row>
    <row r="786" customFormat="false" ht="15" hidden="false" customHeight="false" outlineLevel="0" collapsed="false">
      <c r="C786" s="0" t="n">
        <f aca="false">IF(AND(Comments!B784='Policy card'!$C$3,Comments!N784="Open"),1,0)</f>
        <v>0</v>
      </c>
      <c r="D786" s="0" t="str">
        <f aca="false">IF(C786=1,E786,IF(P786=1,$E$2003+Q786,""))</f>
        <v/>
      </c>
      <c r="E786" s="0" t="n">
        <f aca="false">E785+C786</f>
        <v>0</v>
      </c>
      <c r="P786" s="0" t="n">
        <f aca="false">IF(AND(Comments!B784='Policy card'!$C$3,Comments!N784="Closed"),1,0)</f>
        <v>0</v>
      </c>
      <c r="Q786" s="0" t="n">
        <f aca="false">Q785+P786</f>
        <v>7</v>
      </c>
    </row>
    <row r="787" customFormat="false" ht="15" hidden="false" customHeight="false" outlineLevel="0" collapsed="false">
      <c r="C787" s="0" t="n">
        <f aca="false">IF(AND(Comments!B785='Policy card'!$C$3,Comments!N785="Open"),1,0)</f>
        <v>0</v>
      </c>
      <c r="D787" s="0" t="str">
        <f aca="false">IF(C787=1,E787,IF(P787=1,$E$2003+Q787,""))</f>
        <v/>
      </c>
      <c r="E787" s="0" t="n">
        <f aca="false">E786+C787</f>
        <v>0</v>
      </c>
      <c r="P787" s="0" t="n">
        <f aca="false">IF(AND(Comments!B785='Policy card'!$C$3,Comments!N785="Closed"),1,0)</f>
        <v>0</v>
      </c>
      <c r="Q787" s="0" t="n">
        <f aca="false">Q786+P787</f>
        <v>7</v>
      </c>
    </row>
    <row r="788" customFormat="false" ht="15" hidden="false" customHeight="false" outlineLevel="0" collapsed="false">
      <c r="C788" s="0" t="n">
        <f aca="false">IF(AND(Comments!B786='Policy card'!$C$3,Comments!N786="Open"),1,0)</f>
        <v>0</v>
      </c>
      <c r="D788" s="0" t="str">
        <f aca="false">IF(C788=1,E788,IF(P788=1,$E$2003+Q788,""))</f>
        <v/>
      </c>
      <c r="E788" s="0" t="n">
        <f aca="false">E787+C788</f>
        <v>0</v>
      </c>
      <c r="P788" s="0" t="n">
        <f aca="false">IF(AND(Comments!B786='Policy card'!$C$3,Comments!N786="Closed"),1,0)</f>
        <v>0</v>
      </c>
      <c r="Q788" s="0" t="n">
        <f aca="false">Q787+P788</f>
        <v>7</v>
      </c>
    </row>
    <row r="789" customFormat="false" ht="15" hidden="false" customHeight="false" outlineLevel="0" collapsed="false">
      <c r="C789" s="0" t="n">
        <f aca="false">IF(AND(Comments!B787='Policy card'!$C$3,Comments!N787="Open"),1,0)</f>
        <v>0</v>
      </c>
      <c r="D789" s="0" t="str">
        <f aca="false">IF(C789=1,E789,IF(P789=1,$E$2003+Q789,""))</f>
        <v/>
      </c>
      <c r="E789" s="0" t="n">
        <f aca="false">E788+C789</f>
        <v>0</v>
      </c>
      <c r="P789" s="0" t="n">
        <f aca="false">IF(AND(Comments!B787='Policy card'!$C$3,Comments!N787="Closed"),1,0)</f>
        <v>0</v>
      </c>
      <c r="Q789" s="0" t="n">
        <f aca="false">Q788+P789</f>
        <v>7</v>
      </c>
    </row>
    <row r="790" customFormat="false" ht="15" hidden="false" customHeight="false" outlineLevel="0" collapsed="false">
      <c r="C790" s="0" t="n">
        <f aca="false">IF(AND(Comments!B788='Policy card'!$C$3,Comments!N788="Open"),1,0)</f>
        <v>0</v>
      </c>
      <c r="D790" s="0" t="str">
        <f aca="false">IF(C790=1,E790,IF(P790=1,$E$2003+Q790,""))</f>
        <v/>
      </c>
      <c r="E790" s="0" t="n">
        <f aca="false">E789+C790</f>
        <v>0</v>
      </c>
      <c r="P790" s="0" t="n">
        <f aca="false">IF(AND(Comments!B788='Policy card'!$C$3,Comments!N788="Closed"),1,0)</f>
        <v>0</v>
      </c>
      <c r="Q790" s="0" t="n">
        <f aca="false">Q789+P790</f>
        <v>7</v>
      </c>
    </row>
    <row r="791" customFormat="false" ht="15" hidden="false" customHeight="false" outlineLevel="0" collapsed="false">
      <c r="C791" s="0" t="n">
        <f aca="false">IF(AND(Comments!B789='Policy card'!$C$3,Comments!N789="Open"),1,0)</f>
        <v>0</v>
      </c>
      <c r="D791" s="0" t="str">
        <f aca="false">IF(C791=1,E791,IF(P791=1,$E$2003+Q791,""))</f>
        <v/>
      </c>
      <c r="E791" s="0" t="n">
        <f aca="false">E790+C791</f>
        <v>0</v>
      </c>
      <c r="P791" s="0" t="n">
        <f aca="false">IF(AND(Comments!B789='Policy card'!$C$3,Comments!N789="Closed"),1,0)</f>
        <v>0</v>
      </c>
      <c r="Q791" s="0" t="n">
        <f aca="false">Q790+P791</f>
        <v>7</v>
      </c>
    </row>
    <row r="792" customFormat="false" ht="15" hidden="false" customHeight="false" outlineLevel="0" collapsed="false">
      <c r="C792" s="0" t="n">
        <f aca="false">IF(AND(Comments!B790='Policy card'!$C$3,Comments!N790="Open"),1,0)</f>
        <v>0</v>
      </c>
      <c r="D792" s="0" t="str">
        <f aca="false">IF(C792=1,E792,IF(P792=1,$E$2003+Q792,""))</f>
        <v/>
      </c>
      <c r="E792" s="0" t="n">
        <f aca="false">E791+C792</f>
        <v>0</v>
      </c>
      <c r="P792" s="0" t="n">
        <f aca="false">IF(AND(Comments!B790='Policy card'!$C$3,Comments!N790="Closed"),1,0)</f>
        <v>0</v>
      </c>
      <c r="Q792" s="0" t="n">
        <f aca="false">Q791+P792</f>
        <v>7</v>
      </c>
    </row>
    <row r="793" customFormat="false" ht="15" hidden="false" customHeight="false" outlineLevel="0" collapsed="false">
      <c r="C793" s="0" t="n">
        <f aca="false">IF(AND(Comments!B791='Policy card'!$C$3,Comments!N791="Open"),1,0)</f>
        <v>0</v>
      </c>
      <c r="D793" s="0" t="str">
        <f aca="false">IF(C793=1,E793,IF(P793=1,$E$2003+Q793,""))</f>
        <v/>
      </c>
      <c r="E793" s="0" t="n">
        <f aca="false">E792+C793</f>
        <v>0</v>
      </c>
      <c r="P793" s="0" t="n">
        <f aca="false">IF(AND(Comments!B791='Policy card'!$C$3,Comments!N791="Closed"),1,0)</f>
        <v>0</v>
      </c>
      <c r="Q793" s="0" t="n">
        <f aca="false">Q792+P793</f>
        <v>7</v>
      </c>
    </row>
    <row r="794" customFormat="false" ht="15" hidden="false" customHeight="false" outlineLevel="0" collapsed="false">
      <c r="C794" s="0" t="n">
        <f aca="false">IF(AND(Comments!B792='Policy card'!$C$3,Comments!N792="Open"),1,0)</f>
        <v>0</v>
      </c>
      <c r="D794" s="0" t="str">
        <f aca="false">IF(C794=1,E794,IF(P794=1,$E$2003+Q794,""))</f>
        <v/>
      </c>
      <c r="E794" s="0" t="n">
        <f aca="false">E793+C794</f>
        <v>0</v>
      </c>
      <c r="P794" s="0" t="n">
        <f aca="false">IF(AND(Comments!B792='Policy card'!$C$3,Comments!N792="Closed"),1,0)</f>
        <v>0</v>
      </c>
      <c r="Q794" s="0" t="n">
        <f aca="false">Q793+P794</f>
        <v>7</v>
      </c>
    </row>
    <row r="795" customFormat="false" ht="15" hidden="false" customHeight="false" outlineLevel="0" collapsed="false">
      <c r="C795" s="0" t="n">
        <f aca="false">IF(AND(Comments!B793='Policy card'!$C$3,Comments!N793="Open"),1,0)</f>
        <v>0</v>
      </c>
      <c r="D795" s="0" t="str">
        <f aca="false">IF(C795=1,E795,IF(P795=1,$E$2003+Q795,""))</f>
        <v/>
      </c>
      <c r="E795" s="0" t="n">
        <f aca="false">E794+C795</f>
        <v>0</v>
      </c>
      <c r="P795" s="0" t="n">
        <f aca="false">IF(AND(Comments!B793='Policy card'!$C$3,Comments!N793="Closed"),1,0)</f>
        <v>0</v>
      </c>
      <c r="Q795" s="0" t="n">
        <f aca="false">Q794+P795</f>
        <v>7</v>
      </c>
    </row>
    <row r="796" customFormat="false" ht="15" hidden="false" customHeight="false" outlineLevel="0" collapsed="false">
      <c r="C796" s="0" t="n">
        <f aca="false">IF(AND(Comments!B794='Policy card'!$C$3,Comments!N794="Open"),1,0)</f>
        <v>0</v>
      </c>
      <c r="D796" s="0" t="str">
        <f aca="false">IF(C796=1,E796,IF(P796=1,$E$2003+Q796,""))</f>
        <v/>
      </c>
      <c r="E796" s="0" t="n">
        <f aca="false">E795+C796</f>
        <v>0</v>
      </c>
      <c r="P796" s="0" t="n">
        <f aca="false">IF(AND(Comments!B794='Policy card'!$C$3,Comments!N794="Closed"),1,0)</f>
        <v>0</v>
      </c>
      <c r="Q796" s="0" t="n">
        <f aca="false">Q795+P796</f>
        <v>7</v>
      </c>
    </row>
    <row r="797" customFormat="false" ht="15" hidden="false" customHeight="false" outlineLevel="0" collapsed="false">
      <c r="C797" s="0" t="n">
        <f aca="false">IF(AND(Comments!B795='Policy card'!$C$3,Comments!N795="Open"),1,0)</f>
        <v>0</v>
      </c>
      <c r="D797" s="0" t="str">
        <f aca="false">IF(C797=1,E797,IF(P797=1,$E$2003+Q797,""))</f>
        <v/>
      </c>
      <c r="E797" s="0" t="n">
        <f aca="false">E796+C797</f>
        <v>0</v>
      </c>
      <c r="P797" s="0" t="n">
        <f aca="false">IF(AND(Comments!B795='Policy card'!$C$3,Comments!N795="Closed"),1,0)</f>
        <v>0</v>
      </c>
      <c r="Q797" s="0" t="n">
        <f aca="false">Q796+P797</f>
        <v>7</v>
      </c>
    </row>
    <row r="798" customFormat="false" ht="15" hidden="false" customHeight="false" outlineLevel="0" collapsed="false">
      <c r="C798" s="0" t="n">
        <f aca="false">IF(AND(Comments!B796='Policy card'!$C$3,Comments!N796="Open"),1,0)</f>
        <v>0</v>
      </c>
      <c r="D798" s="0" t="str">
        <f aca="false">IF(C798=1,E798,IF(P798=1,$E$2003+Q798,""))</f>
        <v/>
      </c>
      <c r="E798" s="0" t="n">
        <f aca="false">E797+C798</f>
        <v>0</v>
      </c>
      <c r="P798" s="0" t="n">
        <f aca="false">IF(AND(Comments!B796='Policy card'!$C$3,Comments!N796="Closed"),1,0)</f>
        <v>0</v>
      </c>
      <c r="Q798" s="0" t="n">
        <f aca="false">Q797+P798</f>
        <v>7</v>
      </c>
    </row>
    <row r="799" customFormat="false" ht="15" hidden="false" customHeight="false" outlineLevel="0" collapsed="false">
      <c r="C799" s="0" t="n">
        <f aca="false">IF(AND(Comments!B797='Policy card'!$C$3,Comments!N797="Open"),1,0)</f>
        <v>0</v>
      </c>
      <c r="D799" s="0" t="str">
        <f aca="false">IF(C799=1,E799,IF(P799=1,$E$2003+Q799,""))</f>
        <v/>
      </c>
      <c r="E799" s="0" t="n">
        <f aca="false">E798+C799</f>
        <v>0</v>
      </c>
      <c r="P799" s="0" t="n">
        <f aca="false">IF(AND(Comments!B797='Policy card'!$C$3,Comments!N797="Closed"),1,0)</f>
        <v>0</v>
      </c>
      <c r="Q799" s="0" t="n">
        <f aca="false">Q798+P799</f>
        <v>7</v>
      </c>
    </row>
    <row r="800" customFormat="false" ht="15" hidden="false" customHeight="false" outlineLevel="0" collapsed="false">
      <c r="C800" s="0" t="n">
        <f aca="false">IF(AND(Comments!B798='Policy card'!$C$3,Comments!N798="Open"),1,0)</f>
        <v>0</v>
      </c>
      <c r="D800" s="0" t="str">
        <f aca="false">IF(C800=1,E800,IF(P800=1,$E$2003+Q800,""))</f>
        <v/>
      </c>
      <c r="E800" s="0" t="n">
        <f aca="false">E799+C800</f>
        <v>0</v>
      </c>
      <c r="P800" s="0" t="n">
        <f aca="false">IF(AND(Comments!B798='Policy card'!$C$3,Comments!N798="Closed"),1,0)</f>
        <v>0</v>
      </c>
      <c r="Q800" s="0" t="n">
        <f aca="false">Q799+P800</f>
        <v>7</v>
      </c>
    </row>
    <row r="801" customFormat="false" ht="15" hidden="false" customHeight="false" outlineLevel="0" collapsed="false">
      <c r="C801" s="0" t="n">
        <f aca="false">IF(AND(Comments!B799='Policy card'!$C$3,Comments!N799="Open"),1,0)</f>
        <v>0</v>
      </c>
      <c r="D801" s="0" t="str">
        <f aca="false">IF(C801=1,E801,IF(P801=1,$E$2003+Q801,""))</f>
        <v/>
      </c>
      <c r="E801" s="0" t="n">
        <f aca="false">E800+C801</f>
        <v>0</v>
      </c>
      <c r="P801" s="0" t="n">
        <f aca="false">IF(AND(Comments!B799='Policy card'!$C$3,Comments!N799="Closed"),1,0)</f>
        <v>0</v>
      </c>
      <c r="Q801" s="0" t="n">
        <f aca="false">Q800+P801</f>
        <v>7</v>
      </c>
    </row>
    <row r="802" customFormat="false" ht="15" hidden="false" customHeight="false" outlineLevel="0" collapsed="false">
      <c r="C802" s="0" t="n">
        <f aca="false">IF(AND(Comments!B800='Policy card'!$C$3,Comments!N800="Open"),1,0)</f>
        <v>0</v>
      </c>
      <c r="D802" s="0" t="str">
        <f aca="false">IF(C802=1,E802,IF(P802=1,$E$2003+Q802,""))</f>
        <v/>
      </c>
      <c r="E802" s="0" t="n">
        <f aca="false">E801+C802</f>
        <v>0</v>
      </c>
      <c r="P802" s="0" t="n">
        <f aca="false">IF(AND(Comments!B800='Policy card'!$C$3,Comments!N800="Closed"),1,0)</f>
        <v>0</v>
      </c>
      <c r="Q802" s="0" t="n">
        <f aca="false">Q801+P802</f>
        <v>7</v>
      </c>
    </row>
    <row r="803" customFormat="false" ht="15" hidden="false" customHeight="false" outlineLevel="0" collapsed="false">
      <c r="C803" s="0" t="n">
        <f aca="false">IF(AND(Comments!B801='Policy card'!$C$3,Comments!N801="Open"),1,0)</f>
        <v>0</v>
      </c>
      <c r="D803" s="0" t="str">
        <f aca="false">IF(C803=1,E803,IF(P803=1,$E$2003+Q803,""))</f>
        <v/>
      </c>
      <c r="E803" s="0" t="n">
        <f aca="false">E802+C803</f>
        <v>0</v>
      </c>
      <c r="P803" s="0" t="n">
        <f aca="false">IF(AND(Comments!B801='Policy card'!$C$3,Comments!N801="Closed"),1,0)</f>
        <v>0</v>
      </c>
      <c r="Q803" s="0" t="n">
        <f aca="false">Q802+P803</f>
        <v>7</v>
      </c>
    </row>
    <row r="804" customFormat="false" ht="15" hidden="false" customHeight="false" outlineLevel="0" collapsed="false">
      <c r="C804" s="0" t="n">
        <f aca="false">IF(AND(Comments!B802='Policy card'!$C$3,Comments!N802="Open"),1,0)</f>
        <v>0</v>
      </c>
      <c r="D804" s="0" t="str">
        <f aca="false">IF(C804=1,E804,IF(P804=1,$E$2003+Q804,""))</f>
        <v/>
      </c>
      <c r="E804" s="0" t="n">
        <f aca="false">E803+C804</f>
        <v>0</v>
      </c>
      <c r="P804" s="0" t="n">
        <f aca="false">IF(AND(Comments!B802='Policy card'!$C$3,Comments!N802="Closed"),1,0)</f>
        <v>0</v>
      </c>
      <c r="Q804" s="0" t="n">
        <f aca="false">Q803+P804</f>
        <v>7</v>
      </c>
    </row>
    <row r="805" customFormat="false" ht="15" hidden="false" customHeight="false" outlineLevel="0" collapsed="false">
      <c r="C805" s="0" t="n">
        <f aca="false">IF(AND(Comments!B803='Policy card'!$C$3,Comments!N803="Open"),1,0)</f>
        <v>0</v>
      </c>
      <c r="D805" s="0" t="str">
        <f aca="false">IF(C805=1,E805,IF(P805=1,$E$2003+Q805,""))</f>
        <v/>
      </c>
      <c r="E805" s="0" t="n">
        <f aca="false">E804+C805</f>
        <v>0</v>
      </c>
      <c r="P805" s="0" t="n">
        <f aca="false">IF(AND(Comments!B803='Policy card'!$C$3,Comments!N803="Closed"),1,0)</f>
        <v>0</v>
      </c>
      <c r="Q805" s="0" t="n">
        <f aca="false">Q804+P805</f>
        <v>7</v>
      </c>
    </row>
    <row r="806" customFormat="false" ht="15" hidden="false" customHeight="false" outlineLevel="0" collapsed="false">
      <c r="C806" s="0" t="n">
        <f aca="false">IF(AND(Comments!B804='Policy card'!$C$3,Comments!N804="Open"),1,0)</f>
        <v>0</v>
      </c>
      <c r="D806" s="0" t="str">
        <f aca="false">IF(C806=1,E806,IF(P806=1,$E$2003+Q806,""))</f>
        <v/>
      </c>
      <c r="E806" s="0" t="n">
        <f aca="false">E805+C806</f>
        <v>0</v>
      </c>
      <c r="P806" s="0" t="n">
        <f aca="false">IF(AND(Comments!B804='Policy card'!$C$3,Comments!N804="Closed"),1,0)</f>
        <v>0</v>
      </c>
      <c r="Q806" s="0" t="n">
        <f aca="false">Q805+P806</f>
        <v>7</v>
      </c>
    </row>
    <row r="807" customFormat="false" ht="15" hidden="false" customHeight="false" outlineLevel="0" collapsed="false">
      <c r="C807" s="0" t="n">
        <f aca="false">IF(AND(Comments!B805='Policy card'!$C$3,Comments!N805="Open"),1,0)</f>
        <v>0</v>
      </c>
      <c r="D807" s="0" t="str">
        <f aca="false">IF(C807=1,E807,IF(P807=1,$E$2003+Q807,""))</f>
        <v/>
      </c>
      <c r="E807" s="0" t="n">
        <f aca="false">E806+C807</f>
        <v>0</v>
      </c>
      <c r="P807" s="0" t="n">
        <f aca="false">IF(AND(Comments!B805='Policy card'!$C$3,Comments!N805="Closed"),1,0)</f>
        <v>0</v>
      </c>
      <c r="Q807" s="0" t="n">
        <f aca="false">Q806+P807</f>
        <v>7</v>
      </c>
    </row>
    <row r="808" customFormat="false" ht="15" hidden="false" customHeight="false" outlineLevel="0" collapsed="false">
      <c r="C808" s="0" t="n">
        <f aca="false">IF(AND(Comments!B806='Policy card'!$C$3,Comments!N806="Open"),1,0)</f>
        <v>0</v>
      </c>
      <c r="D808" s="0" t="str">
        <f aca="false">IF(C808=1,E808,IF(P808=1,$E$2003+Q808,""))</f>
        <v/>
      </c>
      <c r="E808" s="0" t="n">
        <f aca="false">E807+C808</f>
        <v>0</v>
      </c>
      <c r="P808" s="0" t="n">
        <f aca="false">IF(AND(Comments!B806='Policy card'!$C$3,Comments!N806="Closed"),1,0)</f>
        <v>0</v>
      </c>
      <c r="Q808" s="0" t="n">
        <f aca="false">Q807+P808</f>
        <v>7</v>
      </c>
    </row>
    <row r="809" customFormat="false" ht="15" hidden="false" customHeight="false" outlineLevel="0" collapsed="false">
      <c r="C809" s="0" t="n">
        <f aca="false">IF(AND(Comments!B807='Policy card'!$C$3,Comments!N807="Open"),1,0)</f>
        <v>0</v>
      </c>
      <c r="D809" s="0" t="str">
        <f aca="false">IF(C809=1,E809,IF(P809=1,$E$2003+Q809,""))</f>
        <v/>
      </c>
      <c r="E809" s="0" t="n">
        <f aca="false">E808+C809</f>
        <v>0</v>
      </c>
      <c r="P809" s="0" t="n">
        <f aca="false">IF(AND(Comments!B807='Policy card'!$C$3,Comments!N807="Closed"),1,0)</f>
        <v>0</v>
      </c>
      <c r="Q809" s="0" t="n">
        <f aca="false">Q808+P809</f>
        <v>7</v>
      </c>
    </row>
    <row r="810" customFormat="false" ht="15" hidden="false" customHeight="false" outlineLevel="0" collapsed="false">
      <c r="C810" s="0" t="n">
        <f aca="false">IF(AND(Comments!B808='Policy card'!$C$3,Comments!N808="Open"),1,0)</f>
        <v>0</v>
      </c>
      <c r="D810" s="0" t="str">
        <f aca="false">IF(C810=1,E810,IF(P810=1,$E$2003+Q810,""))</f>
        <v/>
      </c>
      <c r="E810" s="0" t="n">
        <f aca="false">E809+C810</f>
        <v>0</v>
      </c>
      <c r="P810" s="0" t="n">
        <f aca="false">IF(AND(Comments!B808='Policy card'!$C$3,Comments!N808="Closed"),1,0)</f>
        <v>0</v>
      </c>
      <c r="Q810" s="0" t="n">
        <f aca="false">Q809+P810</f>
        <v>7</v>
      </c>
    </row>
    <row r="811" customFormat="false" ht="15" hidden="false" customHeight="false" outlineLevel="0" collapsed="false">
      <c r="C811" s="0" t="n">
        <f aca="false">IF(AND(Comments!B809='Policy card'!$C$3,Comments!N809="Open"),1,0)</f>
        <v>0</v>
      </c>
      <c r="D811" s="0" t="str">
        <f aca="false">IF(C811=1,E811,IF(P811=1,$E$2003+Q811,""))</f>
        <v/>
      </c>
      <c r="E811" s="0" t="n">
        <f aca="false">E810+C811</f>
        <v>0</v>
      </c>
      <c r="P811" s="0" t="n">
        <f aca="false">IF(AND(Comments!B809='Policy card'!$C$3,Comments!N809="Closed"),1,0)</f>
        <v>0</v>
      </c>
      <c r="Q811" s="0" t="n">
        <f aca="false">Q810+P811</f>
        <v>7</v>
      </c>
    </row>
    <row r="812" customFormat="false" ht="15" hidden="false" customHeight="false" outlineLevel="0" collapsed="false">
      <c r="C812" s="0" t="n">
        <f aca="false">IF(AND(Comments!B810='Policy card'!$C$3,Comments!N810="Open"),1,0)</f>
        <v>0</v>
      </c>
      <c r="D812" s="0" t="str">
        <f aca="false">IF(C812=1,E812,IF(P812=1,$E$2003+Q812,""))</f>
        <v/>
      </c>
      <c r="E812" s="0" t="n">
        <f aca="false">E811+C812</f>
        <v>0</v>
      </c>
      <c r="P812" s="0" t="n">
        <f aca="false">IF(AND(Comments!B810='Policy card'!$C$3,Comments!N810="Closed"),1,0)</f>
        <v>0</v>
      </c>
      <c r="Q812" s="0" t="n">
        <f aca="false">Q811+P812</f>
        <v>7</v>
      </c>
    </row>
    <row r="813" customFormat="false" ht="15" hidden="false" customHeight="false" outlineLevel="0" collapsed="false">
      <c r="C813" s="0" t="n">
        <f aca="false">IF(AND(Comments!B811='Policy card'!$C$3,Comments!N811="Open"),1,0)</f>
        <v>0</v>
      </c>
      <c r="D813" s="0" t="str">
        <f aca="false">IF(C813=1,E813,IF(P813=1,$E$2003+Q813,""))</f>
        <v/>
      </c>
      <c r="E813" s="0" t="n">
        <f aca="false">E812+C813</f>
        <v>0</v>
      </c>
      <c r="P813" s="0" t="n">
        <f aca="false">IF(AND(Comments!B811='Policy card'!$C$3,Comments!N811="Closed"),1,0)</f>
        <v>0</v>
      </c>
      <c r="Q813" s="0" t="n">
        <f aca="false">Q812+P813</f>
        <v>7</v>
      </c>
    </row>
    <row r="814" customFormat="false" ht="15" hidden="false" customHeight="false" outlineLevel="0" collapsed="false">
      <c r="C814" s="0" t="n">
        <f aca="false">IF(AND(Comments!B812='Policy card'!$C$3,Comments!N812="Open"),1,0)</f>
        <v>0</v>
      </c>
      <c r="D814" s="0" t="str">
        <f aca="false">IF(C814=1,E814,IF(P814=1,$E$2003+Q814,""))</f>
        <v/>
      </c>
      <c r="E814" s="0" t="n">
        <f aca="false">E813+C814</f>
        <v>0</v>
      </c>
      <c r="P814" s="0" t="n">
        <f aca="false">IF(AND(Comments!B812='Policy card'!$C$3,Comments!N812="Closed"),1,0)</f>
        <v>0</v>
      </c>
      <c r="Q814" s="0" t="n">
        <f aca="false">Q813+P814</f>
        <v>7</v>
      </c>
    </row>
    <row r="815" customFormat="false" ht="15" hidden="false" customHeight="false" outlineLevel="0" collapsed="false">
      <c r="C815" s="0" t="n">
        <f aca="false">IF(AND(Comments!B813='Policy card'!$C$3,Comments!N813="Open"),1,0)</f>
        <v>0</v>
      </c>
      <c r="D815" s="0" t="str">
        <f aca="false">IF(C815=1,E815,IF(P815=1,$E$2003+Q815,""))</f>
        <v/>
      </c>
      <c r="E815" s="0" t="n">
        <f aca="false">E814+C815</f>
        <v>0</v>
      </c>
      <c r="P815" s="0" t="n">
        <f aca="false">IF(AND(Comments!B813='Policy card'!$C$3,Comments!N813="Closed"),1,0)</f>
        <v>0</v>
      </c>
      <c r="Q815" s="0" t="n">
        <f aca="false">Q814+P815</f>
        <v>7</v>
      </c>
    </row>
    <row r="816" customFormat="false" ht="15" hidden="false" customHeight="false" outlineLevel="0" collapsed="false">
      <c r="C816" s="0" t="n">
        <f aca="false">IF(AND(Comments!B814='Policy card'!$C$3,Comments!N814="Open"),1,0)</f>
        <v>0</v>
      </c>
      <c r="D816" s="0" t="str">
        <f aca="false">IF(C816=1,E816,IF(P816=1,$E$2003+Q816,""))</f>
        <v/>
      </c>
      <c r="E816" s="0" t="n">
        <f aca="false">E815+C816</f>
        <v>0</v>
      </c>
      <c r="P816" s="0" t="n">
        <f aca="false">IF(AND(Comments!B814='Policy card'!$C$3,Comments!N814="Closed"),1,0)</f>
        <v>0</v>
      </c>
      <c r="Q816" s="0" t="n">
        <f aca="false">Q815+P816</f>
        <v>7</v>
      </c>
    </row>
    <row r="817" customFormat="false" ht="15" hidden="false" customHeight="false" outlineLevel="0" collapsed="false">
      <c r="C817" s="0" t="n">
        <f aca="false">IF(AND(Comments!B815='Policy card'!$C$3,Comments!N815="Open"),1,0)</f>
        <v>0</v>
      </c>
      <c r="D817" s="0" t="str">
        <f aca="false">IF(C817=1,E817,IF(P817=1,$E$2003+Q817,""))</f>
        <v/>
      </c>
      <c r="E817" s="0" t="n">
        <f aca="false">E816+C817</f>
        <v>0</v>
      </c>
      <c r="P817" s="0" t="n">
        <f aca="false">IF(AND(Comments!B815='Policy card'!$C$3,Comments!N815="Closed"),1,0)</f>
        <v>0</v>
      </c>
      <c r="Q817" s="0" t="n">
        <f aca="false">Q816+P817</f>
        <v>7</v>
      </c>
    </row>
    <row r="818" customFormat="false" ht="15" hidden="false" customHeight="false" outlineLevel="0" collapsed="false">
      <c r="C818" s="0" t="n">
        <f aca="false">IF(AND(Comments!B816='Policy card'!$C$3,Comments!N816="Open"),1,0)</f>
        <v>0</v>
      </c>
      <c r="D818" s="0" t="str">
        <f aca="false">IF(C818=1,E818,IF(P818=1,$E$2003+Q818,""))</f>
        <v/>
      </c>
      <c r="E818" s="0" t="n">
        <f aca="false">E817+C818</f>
        <v>0</v>
      </c>
      <c r="P818" s="0" t="n">
        <f aca="false">IF(AND(Comments!B816='Policy card'!$C$3,Comments!N816="Closed"),1,0)</f>
        <v>0</v>
      </c>
      <c r="Q818" s="0" t="n">
        <f aca="false">Q817+P818</f>
        <v>7</v>
      </c>
    </row>
    <row r="819" customFormat="false" ht="15" hidden="false" customHeight="false" outlineLevel="0" collapsed="false">
      <c r="C819" s="0" t="n">
        <f aca="false">IF(AND(Comments!B817='Policy card'!$C$3,Comments!N817="Open"),1,0)</f>
        <v>0</v>
      </c>
      <c r="D819" s="0" t="str">
        <f aca="false">IF(C819=1,E819,IF(P819=1,$E$2003+Q819,""))</f>
        <v/>
      </c>
      <c r="E819" s="0" t="n">
        <f aca="false">E818+C819</f>
        <v>0</v>
      </c>
      <c r="P819" s="0" t="n">
        <f aca="false">IF(AND(Comments!B817='Policy card'!$C$3,Comments!N817="Closed"),1,0)</f>
        <v>0</v>
      </c>
      <c r="Q819" s="0" t="n">
        <f aca="false">Q818+P819</f>
        <v>7</v>
      </c>
    </row>
    <row r="820" customFormat="false" ht="15" hidden="false" customHeight="false" outlineLevel="0" collapsed="false">
      <c r="C820" s="0" t="n">
        <f aca="false">IF(AND(Comments!B818='Policy card'!$C$3,Comments!N818="Open"),1,0)</f>
        <v>0</v>
      </c>
      <c r="D820" s="0" t="str">
        <f aca="false">IF(C820=1,E820,IF(P820=1,$E$2003+Q820,""))</f>
        <v/>
      </c>
      <c r="E820" s="0" t="n">
        <f aca="false">E819+C820</f>
        <v>0</v>
      </c>
      <c r="P820" s="0" t="n">
        <f aca="false">IF(AND(Comments!B818='Policy card'!$C$3,Comments!N818="Closed"),1,0)</f>
        <v>0</v>
      </c>
      <c r="Q820" s="0" t="n">
        <f aca="false">Q819+P820</f>
        <v>7</v>
      </c>
    </row>
    <row r="821" customFormat="false" ht="15" hidden="false" customHeight="false" outlineLevel="0" collapsed="false">
      <c r="C821" s="0" t="n">
        <f aca="false">IF(AND(Comments!B819='Policy card'!$C$3,Comments!N819="Open"),1,0)</f>
        <v>0</v>
      </c>
      <c r="D821" s="0" t="str">
        <f aca="false">IF(C821=1,E821,IF(P821=1,$E$2003+Q821,""))</f>
        <v/>
      </c>
      <c r="E821" s="0" t="n">
        <f aca="false">E820+C821</f>
        <v>0</v>
      </c>
      <c r="P821" s="0" t="n">
        <f aca="false">IF(AND(Comments!B819='Policy card'!$C$3,Comments!N819="Closed"),1,0)</f>
        <v>0</v>
      </c>
      <c r="Q821" s="0" t="n">
        <f aca="false">Q820+P821</f>
        <v>7</v>
      </c>
    </row>
    <row r="822" customFormat="false" ht="15" hidden="false" customHeight="false" outlineLevel="0" collapsed="false">
      <c r="C822" s="0" t="n">
        <f aca="false">IF(AND(Comments!B820='Policy card'!$C$3,Comments!N820="Open"),1,0)</f>
        <v>0</v>
      </c>
      <c r="D822" s="0" t="str">
        <f aca="false">IF(C822=1,E822,IF(P822=1,$E$2003+Q822,""))</f>
        <v/>
      </c>
      <c r="E822" s="0" t="n">
        <f aca="false">E821+C822</f>
        <v>0</v>
      </c>
      <c r="P822" s="0" t="n">
        <f aca="false">IF(AND(Comments!B820='Policy card'!$C$3,Comments!N820="Closed"),1,0)</f>
        <v>0</v>
      </c>
      <c r="Q822" s="0" t="n">
        <f aca="false">Q821+P822</f>
        <v>7</v>
      </c>
    </row>
    <row r="823" customFormat="false" ht="15" hidden="false" customHeight="false" outlineLevel="0" collapsed="false">
      <c r="C823" s="0" t="n">
        <f aca="false">IF(AND(Comments!B821='Policy card'!$C$3,Comments!N821="Open"),1,0)</f>
        <v>0</v>
      </c>
      <c r="D823" s="0" t="str">
        <f aca="false">IF(C823=1,E823,IF(P823=1,$E$2003+Q823,""))</f>
        <v/>
      </c>
      <c r="E823" s="0" t="n">
        <f aca="false">E822+C823</f>
        <v>0</v>
      </c>
      <c r="P823" s="0" t="n">
        <f aca="false">IF(AND(Comments!B821='Policy card'!$C$3,Comments!N821="Closed"),1,0)</f>
        <v>0</v>
      </c>
      <c r="Q823" s="0" t="n">
        <f aca="false">Q822+P823</f>
        <v>7</v>
      </c>
    </row>
    <row r="824" customFormat="false" ht="15" hidden="false" customHeight="false" outlineLevel="0" collapsed="false">
      <c r="C824" s="0" t="n">
        <f aca="false">IF(AND(Comments!B822='Policy card'!$C$3,Comments!N822="Open"),1,0)</f>
        <v>0</v>
      </c>
      <c r="D824" s="0" t="str">
        <f aca="false">IF(C824=1,E824,IF(P824=1,$E$2003+Q824,""))</f>
        <v/>
      </c>
      <c r="E824" s="0" t="n">
        <f aca="false">E823+C824</f>
        <v>0</v>
      </c>
      <c r="P824" s="0" t="n">
        <f aca="false">IF(AND(Comments!B822='Policy card'!$C$3,Comments!N822="Closed"),1,0)</f>
        <v>0</v>
      </c>
      <c r="Q824" s="0" t="n">
        <f aca="false">Q823+P824</f>
        <v>7</v>
      </c>
    </row>
    <row r="825" customFormat="false" ht="15" hidden="false" customHeight="false" outlineLevel="0" collapsed="false">
      <c r="C825" s="0" t="n">
        <f aca="false">IF(AND(Comments!B823='Policy card'!$C$3,Comments!N823="Open"),1,0)</f>
        <v>0</v>
      </c>
      <c r="D825" s="0" t="str">
        <f aca="false">IF(C825=1,E825,IF(P825=1,$E$2003+Q825,""))</f>
        <v/>
      </c>
      <c r="E825" s="0" t="n">
        <f aca="false">E824+C825</f>
        <v>0</v>
      </c>
      <c r="P825" s="0" t="n">
        <f aca="false">IF(AND(Comments!B823='Policy card'!$C$3,Comments!N823="Closed"),1,0)</f>
        <v>0</v>
      </c>
      <c r="Q825" s="0" t="n">
        <f aca="false">Q824+P825</f>
        <v>7</v>
      </c>
    </row>
    <row r="826" customFormat="false" ht="15" hidden="false" customHeight="false" outlineLevel="0" collapsed="false">
      <c r="C826" s="0" t="n">
        <f aca="false">IF(AND(Comments!B824='Policy card'!$C$3,Comments!N824="Open"),1,0)</f>
        <v>0</v>
      </c>
      <c r="D826" s="0" t="str">
        <f aca="false">IF(C826=1,E826,IF(P826=1,$E$2003+Q826,""))</f>
        <v/>
      </c>
      <c r="E826" s="0" t="n">
        <f aca="false">E825+C826</f>
        <v>0</v>
      </c>
      <c r="P826" s="0" t="n">
        <f aca="false">IF(AND(Comments!B824='Policy card'!$C$3,Comments!N824="Closed"),1,0)</f>
        <v>0</v>
      </c>
      <c r="Q826" s="0" t="n">
        <f aca="false">Q825+P826</f>
        <v>7</v>
      </c>
    </row>
    <row r="827" customFormat="false" ht="15" hidden="false" customHeight="false" outlineLevel="0" collapsed="false">
      <c r="C827" s="0" t="n">
        <f aca="false">IF(AND(Comments!B825='Policy card'!$C$3,Comments!N825="Open"),1,0)</f>
        <v>0</v>
      </c>
      <c r="D827" s="0" t="str">
        <f aca="false">IF(C827=1,E827,IF(P827=1,$E$2003+Q827,""))</f>
        <v/>
      </c>
      <c r="E827" s="0" t="n">
        <f aca="false">E826+C827</f>
        <v>0</v>
      </c>
      <c r="P827" s="0" t="n">
        <f aca="false">IF(AND(Comments!B825='Policy card'!$C$3,Comments!N825="Closed"),1,0)</f>
        <v>0</v>
      </c>
      <c r="Q827" s="0" t="n">
        <f aca="false">Q826+P827</f>
        <v>7</v>
      </c>
    </row>
    <row r="828" customFormat="false" ht="15" hidden="false" customHeight="false" outlineLevel="0" collapsed="false">
      <c r="C828" s="0" t="n">
        <f aca="false">IF(AND(Comments!B826='Policy card'!$C$3,Comments!N826="Open"),1,0)</f>
        <v>0</v>
      </c>
      <c r="D828" s="0" t="str">
        <f aca="false">IF(C828=1,E828,IF(P828=1,$E$2003+Q828,""))</f>
        <v/>
      </c>
      <c r="E828" s="0" t="n">
        <f aca="false">E827+C828</f>
        <v>0</v>
      </c>
      <c r="P828" s="0" t="n">
        <f aca="false">IF(AND(Comments!B826='Policy card'!$C$3,Comments!N826="Closed"),1,0)</f>
        <v>0</v>
      </c>
      <c r="Q828" s="0" t="n">
        <f aca="false">Q827+P828</f>
        <v>7</v>
      </c>
    </row>
    <row r="829" customFormat="false" ht="15" hidden="false" customHeight="false" outlineLevel="0" collapsed="false">
      <c r="C829" s="0" t="n">
        <f aca="false">IF(AND(Comments!B827='Policy card'!$C$3,Comments!N827="Open"),1,0)</f>
        <v>0</v>
      </c>
      <c r="D829" s="0" t="str">
        <f aca="false">IF(C829=1,E829,IF(P829=1,$E$2003+Q829,""))</f>
        <v/>
      </c>
      <c r="E829" s="0" t="n">
        <f aca="false">E828+C829</f>
        <v>0</v>
      </c>
      <c r="P829" s="0" t="n">
        <f aca="false">IF(AND(Comments!B827='Policy card'!$C$3,Comments!N827="Closed"),1,0)</f>
        <v>0</v>
      </c>
      <c r="Q829" s="0" t="n">
        <f aca="false">Q828+P829</f>
        <v>7</v>
      </c>
    </row>
    <row r="830" customFormat="false" ht="15" hidden="false" customHeight="false" outlineLevel="0" collapsed="false">
      <c r="C830" s="0" t="n">
        <f aca="false">IF(AND(Comments!B828='Policy card'!$C$3,Comments!N828="Open"),1,0)</f>
        <v>0</v>
      </c>
      <c r="D830" s="0" t="str">
        <f aca="false">IF(C830=1,E830,IF(P830=1,$E$2003+Q830,""))</f>
        <v/>
      </c>
      <c r="E830" s="0" t="n">
        <f aca="false">E829+C830</f>
        <v>0</v>
      </c>
      <c r="P830" s="0" t="n">
        <f aca="false">IF(AND(Comments!B828='Policy card'!$C$3,Comments!N828="Closed"),1,0)</f>
        <v>0</v>
      </c>
      <c r="Q830" s="0" t="n">
        <f aca="false">Q829+P830</f>
        <v>7</v>
      </c>
    </row>
    <row r="831" customFormat="false" ht="15" hidden="false" customHeight="false" outlineLevel="0" collapsed="false">
      <c r="C831" s="0" t="n">
        <f aca="false">IF(AND(Comments!B829='Policy card'!$C$3,Comments!N829="Open"),1,0)</f>
        <v>0</v>
      </c>
      <c r="D831" s="0" t="str">
        <f aca="false">IF(C831=1,E831,IF(P831=1,$E$2003+Q831,""))</f>
        <v/>
      </c>
      <c r="E831" s="0" t="n">
        <f aca="false">E830+C831</f>
        <v>0</v>
      </c>
      <c r="P831" s="0" t="n">
        <f aca="false">IF(AND(Comments!B829='Policy card'!$C$3,Comments!N829="Closed"),1,0)</f>
        <v>0</v>
      </c>
      <c r="Q831" s="0" t="n">
        <f aca="false">Q830+P831</f>
        <v>7</v>
      </c>
    </row>
    <row r="832" customFormat="false" ht="15" hidden="false" customHeight="false" outlineLevel="0" collapsed="false">
      <c r="C832" s="0" t="n">
        <f aca="false">IF(AND(Comments!B830='Policy card'!$C$3,Comments!N830="Open"),1,0)</f>
        <v>0</v>
      </c>
      <c r="D832" s="0" t="str">
        <f aca="false">IF(C832=1,E832,IF(P832=1,$E$2003+Q832,""))</f>
        <v/>
      </c>
      <c r="E832" s="0" t="n">
        <f aca="false">E831+C832</f>
        <v>0</v>
      </c>
      <c r="P832" s="0" t="n">
        <f aca="false">IF(AND(Comments!B830='Policy card'!$C$3,Comments!N830="Closed"),1,0)</f>
        <v>0</v>
      </c>
      <c r="Q832" s="0" t="n">
        <f aca="false">Q831+P832</f>
        <v>7</v>
      </c>
    </row>
    <row r="833" customFormat="false" ht="15" hidden="false" customHeight="false" outlineLevel="0" collapsed="false">
      <c r="C833" s="0" t="n">
        <f aca="false">IF(AND(Comments!B831='Policy card'!$C$3,Comments!N831="Open"),1,0)</f>
        <v>0</v>
      </c>
      <c r="D833" s="0" t="str">
        <f aca="false">IF(C833=1,E833,IF(P833=1,$E$2003+Q833,""))</f>
        <v/>
      </c>
      <c r="E833" s="0" t="n">
        <f aca="false">E832+C833</f>
        <v>0</v>
      </c>
      <c r="P833" s="0" t="n">
        <f aca="false">IF(AND(Comments!B831='Policy card'!$C$3,Comments!N831="Closed"),1,0)</f>
        <v>0</v>
      </c>
      <c r="Q833" s="0" t="n">
        <f aca="false">Q832+P833</f>
        <v>7</v>
      </c>
    </row>
    <row r="834" customFormat="false" ht="15" hidden="false" customHeight="false" outlineLevel="0" collapsed="false">
      <c r="C834" s="0" t="n">
        <f aca="false">IF(AND(Comments!B832='Policy card'!$C$3,Comments!N832="Open"),1,0)</f>
        <v>0</v>
      </c>
      <c r="D834" s="0" t="str">
        <f aca="false">IF(C834=1,E834,IF(P834=1,$E$2003+Q834,""))</f>
        <v/>
      </c>
      <c r="E834" s="0" t="n">
        <f aca="false">E833+C834</f>
        <v>0</v>
      </c>
      <c r="P834" s="0" t="n">
        <f aca="false">IF(AND(Comments!B832='Policy card'!$C$3,Comments!N832="Closed"),1,0)</f>
        <v>0</v>
      </c>
      <c r="Q834" s="0" t="n">
        <f aca="false">Q833+P834</f>
        <v>7</v>
      </c>
    </row>
    <row r="835" customFormat="false" ht="15" hidden="false" customHeight="false" outlineLevel="0" collapsed="false">
      <c r="C835" s="0" t="n">
        <f aca="false">IF(AND(Comments!B833='Policy card'!$C$3,Comments!N833="Open"),1,0)</f>
        <v>0</v>
      </c>
      <c r="D835" s="0" t="str">
        <f aca="false">IF(C835=1,E835,IF(P835=1,$E$2003+Q835,""))</f>
        <v/>
      </c>
      <c r="E835" s="0" t="n">
        <f aca="false">E834+C835</f>
        <v>0</v>
      </c>
      <c r="P835" s="0" t="n">
        <f aca="false">IF(AND(Comments!B833='Policy card'!$C$3,Comments!N833="Closed"),1,0)</f>
        <v>0</v>
      </c>
      <c r="Q835" s="0" t="n">
        <f aca="false">Q834+P835</f>
        <v>7</v>
      </c>
    </row>
    <row r="836" customFormat="false" ht="15" hidden="false" customHeight="false" outlineLevel="0" collapsed="false">
      <c r="C836" s="0" t="n">
        <f aca="false">IF(AND(Comments!B834='Policy card'!$C$3,Comments!N834="Open"),1,0)</f>
        <v>0</v>
      </c>
      <c r="D836" s="0" t="str">
        <f aca="false">IF(C836=1,E836,IF(P836=1,$E$2003+Q836,""))</f>
        <v/>
      </c>
      <c r="E836" s="0" t="n">
        <f aca="false">E835+C836</f>
        <v>0</v>
      </c>
      <c r="P836" s="0" t="n">
        <f aca="false">IF(AND(Comments!B834='Policy card'!$C$3,Comments!N834="Closed"),1,0)</f>
        <v>0</v>
      </c>
      <c r="Q836" s="0" t="n">
        <f aca="false">Q835+P836</f>
        <v>7</v>
      </c>
    </row>
    <row r="837" customFormat="false" ht="15" hidden="false" customHeight="false" outlineLevel="0" collapsed="false">
      <c r="C837" s="0" t="n">
        <f aca="false">IF(AND(Comments!B835='Policy card'!$C$3,Comments!N835="Open"),1,0)</f>
        <v>0</v>
      </c>
      <c r="D837" s="0" t="str">
        <f aca="false">IF(C837=1,E837,IF(P837=1,$E$2003+Q837,""))</f>
        <v/>
      </c>
      <c r="E837" s="0" t="n">
        <f aca="false">E836+C837</f>
        <v>0</v>
      </c>
      <c r="P837" s="0" t="n">
        <f aca="false">IF(AND(Comments!B835='Policy card'!$C$3,Comments!N835="Closed"),1,0)</f>
        <v>0</v>
      </c>
      <c r="Q837" s="0" t="n">
        <f aca="false">Q836+P837</f>
        <v>7</v>
      </c>
    </row>
    <row r="838" customFormat="false" ht="15" hidden="false" customHeight="false" outlineLevel="0" collapsed="false">
      <c r="C838" s="0" t="n">
        <f aca="false">IF(AND(Comments!B836='Policy card'!$C$3,Comments!N836="Open"),1,0)</f>
        <v>0</v>
      </c>
      <c r="D838" s="0" t="str">
        <f aca="false">IF(C838=1,E838,IF(P838=1,$E$2003+Q838,""))</f>
        <v/>
      </c>
      <c r="E838" s="0" t="n">
        <f aca="false">E837+C838</f>
        <v>0</v>
      </c>
      <c r="P838" s="0" t="n">
        <f aca="false">IF(AND(Comments!B836='Policy card'!$C$3,Comments!N836="Closed"),1,0)</f>
        <v>0</v>
      </c>
      <c r="Q838" s="0" t="n">
        <f aca="false">Q837+P838</f>
        <v>7</v>
      </c>
    </row>
    <row r="839" customFormat="false" ht="15" hidden="false" customHeight="false" outlineLevel="0" collapsed="false">
      <c r="C839" s="0" t="n">
        <f aca="false">IF(AND(Comments!B837='Policy card'!$C$3,Comments!N837="Open"),1,0)</f>
        <v>0</v>
      </c>
      <c r="D839" s="0" t="str">
        <f aca="false">IF(C839=1,E839,IF(P839=1,$E$2003+Q839,""))</f>
        <v/>
      </c>
      <c r="E839" s="0" t="n">
        <f aca="false">E838+C839</f>
        <v>0</v>
      </c>
      <c r="P839" s="0" t="n">
        <f aca="false">IF(AND(Comments!B837='Policy card'!$C$3,Comments!N837="Closed"),1,0)</f>
        <v>0</v>
      </c>
      <c r="Q839" s="0" t="n">
        <f aca="false">Q838+P839</f>
        <v>7</v>
      </c>
    </row>
    <row r="840" customFormat="false" ht="15" hidden="false" customHeight="false" outlineLevel="0" collapsed="false">
      <c r="C840" s="0" t="n">
        <f aca="false">IF(AND(Comments!B838='Policy card'!$C$3,Comments!N838="Open"),1,0)</f>
        <v>0</v>
      </c>
      <c r="D840" s="0" t="str">
        <f aca="false">IF(C840=1,E840,IF(P840=1,$E$2003+Q840,""))</f>
        <v/>
      </c>
      <c r="E840" s="0" t="n">
        <f aca="false">E839+C840</f>
        <v>0</v>
      </c>
      <c r="P840" s="0" t="n">
        <f aca="false">IF(AND(Comments!B838='Policy card'!$C$3,Comments!N838="Closed"),1,0)</f>
        <v>0</v>
      </c>
      <c r="Q840" s="0" t="n">
        <f aca="false">Q839+P840</f>
        <v>7</v>
      </c>
    </row>
    <row r="841" customFormat="false" ht="15" hidden="false" customHeight="false" outlineLevel="0" collapsed="false">
      <c r="C841" s="0" t="n">
        <f aca="false">IF(AND(Comments!B839='Policy card'!$C$3,Comments!N839="Open"),1,0)</f>
        <v>0</v>
      </c>
      <c r="D841" s="0" t="str">
        <f aca="false">IF(C841=1,E841,IF(P841=1,$E$2003+Q841,""))</f>
        <v/>
      </c>
      <c r="E841" s="0" t="n">
        <f aca="false">E840+C841</f>
        <v>0</v>
      </c>
      <c r="P841" s="0" t="n">
        <f aca="false">IF(AND(Comments!B839='Policy card'!$C$3,Comments!N839="Closed"),1,0)</f>
        <v>0</v>
      </c>
      <c r="Q841" s="0" t="n">
        <f aca="false">Q840+P841</f>
        <v>7</v>
      </c>
    </row>
    <row r="842" customFormat="false" ht="15" hidden="false" customHeight="false" outlineLevel="0" collapsed="false">
      <c r="C842" s="0" t="n">
        <f aca="false">IF(AND(Comments!B840='Policy card'!$C$3,Comments!N840="Open"),1,0)</f>
        <v>0</v>
      </c>
      <c r="D842" s="0" t="str">
        <f aca="false">IF(C842=1,E842,IF(P842=1,$E$2003+Q842,""))</f>
        <v/>
      </c>
      <c r="E842" s="0" t="n">
        <f aca="false">E841+C842</f>
        <v>0</v>
      </c>
      <c r="P842" s="0" t="n">
        <f aca="false">IF(AND(Comments!B840='Policy card'!$C$3,Comments!N840="Closed"),1,0)</f>
        <v>0</v>
      </c>
      <c r="Q842" s="0" t="n">
        <f aca="false">Q841+P842</f>
        <v>7</v>
      </c>
    </row>
    <row r="843" customFormat="false" ht="15" hidden="false" customHeight="false" outlineLevel="0" collapsed="false">
      <c r="C843" s="0" t="n">
        <f aca="false">IF(AND(Comments!B841='Policy card'!$C$3,Comments!N841="Open"),1,0)</f>
        <v>0</v>
      </c>
      <c r="D843" s="0" t="str">
        <f aca="false">IF(C843=1,E843,IF(P843=1,$E$2003+Q843,""))</f>
        <v/>
      </c>
      <c r="E843" s="0" t="n">
        <f aca="false">E842+C843</f>
        <v>0</v>
      </c>
      <c r="P843" s="0" t="n">
        <f aca="false">IF(AND(Comments!B841='Policy card'!$C$3,Comments!N841="Closed"),1,0)</f>
        <v>0</v>
      </c>
      <c r="Q843" s="0" t="n">
        <f aca="false">Q842+P843</f>
        <v>7</v>
      </c>
    </row>
    <row r="844" customFormat="false" ht="15" hidden="false" customHeight="false" outlineLevel="0" collapsed="false">
      <c r="C844" s="0" t="n">
        <f aca="false">IF(AND(Comments!B842='Policy card'!$C$3,Comments!N842="Open"),1,0)</f>
        <v>0</v>
      </c>
      <c r="D844" s="0" t="str">
        <f aca="false">IF(C844=1,E844,IF(P844=1,$E$2003+Q844,""))</f>
        <v/>
      </c>
      <c r="E844" s="0" t="n">
        <f aca="false">E843+C844</f>
        <v>0</v>
      </c>
      <c r="P844" s="0" t="n">
        <f aca="false">IF(AND(Comments!B842='Policy card'!$C$3,Comments!N842="Closed"),1,0)</f>
        <v>0</v>
      </c>
      <c r="Q844" s="0" t="n">
        <f aca="false">Q843+P844</f>
        <v>7</v>
      </c>
    </row>
    <row r="845" customFormat="false" ht="15" hidden="false" customHeight="false" outlineLevel="0" collapsed="false">
      <c r="C845" s="0" t="n">
        <f aca="false">IF(AND(Comments!B843='Policy card'!$C$3,Comments!N843="Open"),1,0)</f>
        <v>0</v>
      </c>
      <c r="D845" s="0" t="str">
        <f aca="false">IF(C845=1,E845,IF(P845=1,$E$2003+Q845,""))</f>
        <v/>
      </c>
      <c r="E845" s="0" t="n">
        <f aca="false">E844+C845</f>
        <v>0</v>
      </c>
      <c r="P845" s="0" t="n">
        <f aca="false">IF(AND(Comments!B843='Policy card'!$C$3,Comments!N843="Closed"),1,0)</f>
        <v>0</v>
      </c>
      <c r="Q845" s="0" t="n">
        <f aca="false">Q844+P845</f>
        <v>7</v>
      </c>
    </row>
    <row r="846" customFormat="false" ht="15" hidden="false" customHeight="false" outlineLevel="0" collapsed="false">
      <c r="C846" s="0" t="n">
        <f aca="false">IF(AND(Comments!B844='Policy card'!$C$3,Comments!N844="Open"),1,0)</f>
        <v>0</v>
      </c>
      <c r="D846" s="0" t="str">
        <f aca="false">IF(C846=1,E846,IF(P846=1,$E$2003+Q846,""))</f>
        <v/>
      </c>
      <c r="E846" s="0" t="n">
        <f aca="false">E845+C846</f>
        <v>0</v>
      </c>
      <c r="P846" s="0" t="n">
        <f aca="false">IF(AND(Comments!B844='Policy card'!$C$3,Comments!N844="Closed"),1,0)</f>
        <v>0</v>
      </c>
      <c r="Q846" s="0" t="n">
        <f aca="false">Q845+P846</f>
        <v>7</v>
      </c>
    </row>
    <row r="847" customFormat="false" ht="15" hidden="false" customHeight="false" outlineLevel="0" collapsed="false">
      <c r="C847" s="0" t="n">
        <f aca="false">IF(AND(Comments!B845='Policy card'!$C$3,Comments!N845="Open"),1,0)</f>
        <v>0</v>
      </c>
      <c r="D847" s="0" t="str">
        <f aca="false">IF(C847=1,E847,IF(P847=1,$E$2003+Q847,""))</f>
        <v/>
      </c>
      <c r="E847" s="0" t="n">
        <f aca="false">E846+C847</f>
        <v>0</v>
      </c>
      <c r="P847" s="0" t="n">
        <f aca="false">IF(AND(Comments!B845='Policy card'!$C$3,Comments!N845="Closed"),1,0)</f>
        <v>0</v>
      </c>
      <c r="Q847" s="0" t="n">
        <f aca="false">Q846+P847</f>
        <v>7</v>
      </c>
    </row>
    <row r="848" customFormat="false" ht="15" hidden="false" customHeight="false" outlineLevel="0" collapsed="false">
      <c r="C848" s="0" t="n">
        <f aca="false">IF(AND(Comments!B846='Policy card'!$C$3,Comments!N846="Open"),1,0)</f>
        <v>0</v>
      </c>
      <c r="D848" s="0" t="str">
        <f aca="false">IF(C848=1,E848,IF(P848=1,$E$2003+Q848,""))</f>
        <v/>
      </c>
      <c r="E848" s="0" t="n">
        <f aca="false">E847+C848</f>
        <v>0</v>
      </c>
      <c r="P848" s="0" t="n">
        <f aca="false">IF(AND(Comments!B846='Policy card'!$C$3,Comments!N846="Closed"),1,0)</f>
        <v>0</v>
      </c>
      <c r="Q848" s="0" t="n">
        <f aca="false">Q847+P848</f>
        <v>7</v>
      </c>
    </row>
    <row r="849" customFormat="false" ht="15" hidden="false" customHeight="false" outlineLevel="0" collapsed="false">
      <c r="C849" s="0" t="n">
        <f aca="false">IF(AND(Comments!B847='Policy card'!$C$3,Comments!N847="Open"),1,0)</f>
        <v>0</v>
      </c>
      <c r="D849" s="0" t="str">
        <f aca="false">IF(C849=1,E849,IF(P849=1,$E$2003+Q849,""))</f>
        <v/>
      </c>
      <c r="E849" s="0" t="n">
        <f aca="false">E848+C849</f>
        <v>0</v>
      </c>
      <c r="P849" s="0" t="n">
        <f aca="false">IF(AND(Comments!B847='Policy card'!$C$3,Comments!N847="Closed"),1,0)</f>
        <v>0</v>
      </c>
      <c r="Q849" s="0" t="n">
        <f aca="false">Q848+P849</f>
        <v>7</v>
      </c>
    </row>
    <row r="850" customFormat="false" ht="15" hidden="false" customHeight="false" outlineLevel="0" collapsed="false">
      <c r="C850" s="0" t="n">
        <f aca="false">IF(AND(Comments!B848='Policy card'!$C$3,Comments!N848="Open"),1,0)</f>
        <v>0</v>
      </c>
      <c r="D850" s="0" t="str">
        <f aca="false">IF(C850=1,E850,IF(P850=1,$E$2003+Q850,""))</f>
        <v/>
      </c>
      <c r="E850" s="0" t="n">
        <f aca="false">E849+C850</f>
        <v>0</v>
      </c>
      <c r="P850" s="0" t="n">
        <f aca="false">IF(AND(Comments!B848='Policy card'!$C$3,Comments!N848="Closed"),1,0)</f>
        <v>0</v>
      </c>
      <c r="Q850" s="0" t="n">
        <f aca="false">Q849+P850</f>
        <v>7</v>
      </c>
    </row>
    <row r="851" customFormat="false" ht="15" hidden="false" customHeight="false" outlineLevel="0" collapsed="false">
      <c r="C851" s="0" t="n">
        <f aca="false">IF(AND(Comments!B849='Policy card'!$C$3,Comments!N849="Open"),1,0)</f>
        <v>0</v>
      </c>
      <c r="D851" s="0" t="str">
        <f aca="false">IF(C851=1,E851,IF(P851=1,$E$2003+Q851,""))</f>
        <v/>
      </c>
      <c r="E851" s="0" t="n">
        <f aca="false">E850+C851</f>
        <v>0</v>
      </c>
      <c r="P851" s="0" t="n">
        <f aca="false">IF(AND(Comments!B849='Policy card'!$C$3,Comments!N849="Closed"),1,0)</f>
        <v>0</v>
      </c>
      <c r="Q851" s="0" t="n">
        <f aca="false">Q850+P851</f>
        <v>7</v>
      </c>
    </row>
    <row r="852" customFormat="false" ht="15" hidden="false" customHeight="false" outlineLevel="0" collapsed="false">
      <c r="C852" s="0" t="n">
        <f aca="false">IF(AND(Comments!B850='Policy card'!$C$3,Comments!N850="Open"),1,0)</f>
        <v>0</v>
      </c>
      <c r="D852" s="0" t="str">
        <f aca="false">IF(C852=1,E852,IF(P852=1,$E$2003+Q852,""))</f>
        <v/>
      </c>
      <c r="E852" s="0" t="n">
        <f aca="false">E851+C852</f>
        <v>0</v>
      </c>
      <c r="P852" s="0" t="n">
        <f aca="false">IF(AND(Comments!B850='Policy card'!$C$3,Comments!N850="Closed"),1,0)</f>
        <v>0</v>
      </c>
      <c r="Q852" s="0" t="n">
        <f aca="false">Q851+P852</f>
        <v>7</v>
      </c>
    </row>
    <row r="853" customFormat="false" ht="15" hidden="false" customHeight="false" outlineLevel="0" collapsed="false">
      <c r="C853" s="0" t="n">
        <f aca="false">IF(AND(Comments!B851='Policy card'!$C$3,Comments!N851="Open"),1,0)</f>
        <v>0</v>
      </c>
      <c r="D853" s="0" t="str">
        <f aca="false">IF(C853=1,E853,IF(P853=1,$E$2003+Q853,""))</f>
        <v/>
      </c>
      <c r="E853" s="0" t="n">
        <f aca="false">E852+C853</f>
        <v>0</v>
      </c>
      <c r="P853" s="0" t="n">
        <f aca="false">IF(AND(Comments!B851='Policy card'!$C$3,Comments!N851="Closed"),1,0)</f>
        <v>0</v>
      </c>
      <c r="Q853" s="0" t="n">
        <f aca="false">Q852+P853</f>
        <v>7</v>
      </c>
    </row>
    <row r="854" customFormat="false" ht="15" hidden="false" customHeight="false" outlineLevel="0" collapsed="false">
      <c r="C854" s="0" t="n">
        <f aca="false">IF(AND(Comments!B852='Policy card'!$C$3,Comments!N852="Open"),1,0)</f>
        <v>0</v>
      </c>
      <c r="D854" s="0" t="str">
        <f aca="false">IF(C854=1,E854,IF(P854=1,$E$2003+Q854,""))</f>
        <v/>
      </c>
      <c r="E854" s="0" t="n">
        <f aca="false">E853+C854</f>
        <v>0</v>
      </c>
      <c r="P854" s="0" t="n">
        <f aca="false">IF(AND(Comments!B852='Policy card'!$C$3,Comments!N852="Closed"),1,0)</f>
        <v>0</v>
      </c>
      <c r="Q854" s="0" t="n">
        <f aca="false">Q853+P854</f>
        <v>7</v>
      </c>
    </row>
    <row r="855" customFormat="false" ht="15" hidden="false" customHeight="false" outlineLevel="0" collapsed="false">
      <c r="C855" s="0" t="n">
        <f aca="false">IF(AND(Comments!B853='Policy card'!$C$3,Comments!N853="Open"),1,0)</f>
        <v>0</v>
      </c>
      <c r="D855" s="0" t="str">
        <f aca="false">IF(C855=1,E855,IF(P855=1,$E$2003+Q855,""))</f>
        <v/>
      </c>
      <c r="E855" s="0" t="n">
        <f aca="false">E854+C855</f>
        <v>0</v>
      </c>
      <c r="P855" s="0" t="n">
        <f aca="false">IF(AND(Comments!B853='Policy card'!$C$3,Comments!N853="Closed"),1,0)</f>
        <v>0</v>
      </c>
      <c r="Q855" s="0" t="n">
        <f aca="false">Q854+P855</f>
        <v>7</v>
      </c>
    </row>
    <row r="856" customFormat="false" ht="15" hidden="false" customHeight="false" outlineLevel="0" collapsed="false">
      <c r="C856" s="0" t="n">
        <f aca="false">IF(AND(Comments!B854='Policy card'!$C$3,Comments!N854="Open"),1,0)</f>
        <v>0</v>
      </c>
      <c r="D856" s="0" t="str">
        <f aca="false">IF(C856=1,E856,IF(P856=1,$E$2003+Q856,""))</f>
        <v/>
      </c>
      <c r="E856" s="0" t="n">
        <f aca="false">E855+C856</f>
        <v>0</v>
      </c>
      <c r="P856" s="0" t="n">
        <f aca="false">IF(AND(Comments!B854='Policy card'!$C$3,Comments!N854="Closed"),1,0)</f>
        <v>0</v>
      </c>
      <c r="Q856" s="0" t="n">
        <f aca="false">Q855+P856</f>
        <v>7</v>
      </c>
    </row>
    <row r="857" customFormat="false" ht="15" hidden="false" customHeight="false" outlineLevel="0" collapsed="false">
      <c r="C857" s="0" t="n">
        <f aca="false">IF(AND(Comments!B855='Policy card'!$C$3,Comments!N855="Open"),1,0)</f>
        <v>0</v>
      </c>
      <c r="D857" s="0" t="str">
        <f aca="false">IF(C857=1,E857,IF(P857=1,$E$2003+Q857,""))</f>
        <v/>
      </c>
      <c r="E857" s="0" t="n">
        <f aca="false">E856+C857</f>
        <v>0</v>
      </c>
      <c r="P857" s="0" t="n">
        <f aca="false">IF(AND(Comments!B855='Policy card'!$C$3,Comments!N855="Closed"),1,0)</f>
        <v>0</v>
      </c>
      <c r="Q857" s="0" t="n">
        <f aca="false">Q856+P857</f>
        <v>7</v>
      </c>
    </row>
    <row r="858" customFormat="false" ht="15" hidden="false" customHeight="false" outlineLevel="0" collapsed="false">
      <c r="C858" s="0" t="n">
        <f aca="false">IF(AND(Comments!B856='Policy card'!$C$3,Comments!N856="Open"),1,0)</f>
        <v>0</v>
      </c>
      <c r="D858" s="0" t="str">
        <f aca="false">IF(C858=1,E858,IF(P858=1,$E$2003+Q858,""))</f>
        <v/>
      </c>
      <c r="E858" s="0" t="n">
        <f aca="false">E857+C858</f>
        <v>0</v>
      </c>
      <c r="P858" s="0" t="n">
        <f aca="false">IF(AND(Comments!B856='Policy card'!$C$3,Comments!N856="Closed"),1,0)</f>
        <v>0</v>
      </c>
      <c r="Q858" s="0" t="n">
        <f aca="false">Q857+P858</f>
        <v>7</v>
      </c>
    </row>
    <row r="859" customFormat="false" ht="15" hidden="false" customHeight="false" outlineLevel="0" collapsed="false">
      <c r="C859" s="0" t="n">
        <f aca="false">IF(AND(Comments!B857='Policy card'!$C$3,Comments!N857="Open"),1,0)</f>
        <v>0</v>
      </c>
      <c r="D859" s="0" t="str">
        <f aca="false">IF(C859=1,E859,IF(P859=1,$E$2003+Q859,""))</f>
        <v/>
      </c>
      <c r="E859" s="0" t="n">
        <f aca="false">E858+C859</f>
        <v>0</v>
      </c>
      <c r="P859" s="0" t="n">
        <f aca="false">IF(AND(Comments!B857='Policy card'!$C$3,Comments!N857="Closed"),1,0)</f>
        <v>0</v>
      </c>
      <c r="Q859" s="0" t="n">
        <f aca="false">Q858+P859</f>
        <v>7</v>
      </c>
    </row>
    <row r="860" customFormat="false" ht="15" hidden="false" customHeight="false" outlineLevel="0" collapsed="false">
      <c r="C860" s="0" t="n">
        <f aca="false">IF(AND(Comments!B858='Policy card'!$C$3,Comments!N858="Open"),1,0)</f>
        <v>0</v>
      </c>
      <c r="D860" s="0" t="str">
        <f aca="false">IF(C860=1,E860,IF(P860=1,$E$2003+Q860,""))</f>
        <v/>
      </c>
      <c r="E860" s="0" t="n">
        <f aca="false">E859+C860</f>
        <v>0</v>
      </c>
      <c r="P860" s="0" t="n">
        <f aca="false">IF(AND(Comments!B858='Policy card'!$C$3,Comments!N858="Closed"),1,0)</f>
        <v>0</v>
      </c>
      <c r="Q860" s="0" t="n">
        <f aca="false">Q859+P860</f>
        <v>7</v>
      </c>
    </row>
    <row r="861" customFormat="false" ht="15" hidden="false" customHeight="false" outlineLevel="0" collapsed="false">
      <c r="C861" s="0" t="n">
        <f aca="false">IF(AND(Comments!B859='Policy card'!$C$3,Comments!N859="Open"),1,0)</f>
        <v>0</v>
      </c>
      <c r="D861" s="0" t="str">
        <f aca="false">IF(C861=1,E861,IF(P861=1,$E$2003+Q861,""))</f>
        <v/>
      </c>
      <c r="E861" s="0" t="n">
        <f aca="false">E860+C861</f>
        <v>0</v>
      </c>
      <c r="P861" s="0" t="n">
        <f aca="false">IF(AND(Comments!B859='Policy card'!$C$3,Comments!N859="Closed"),1,0)</f>
        <v>0</v>
      </c>
      <c r="Q861" s="0" t="n">
        <f aca="false">Q860+P861</f>
        <v>7</v>
      </c>
    </row>
    <row r="862" customFormat="false" ht="15" hidden="false" customHeight="false" outlineLevel="0" collapsed="false">
      <c r="C862" s="0" t="n">
        <f aca="false">IF(AND(Comments!B860='Policy card'!$C$3,Comments!N860="Open"),1,0)</f>
        <v>0</v>
      </c>
      <c r="D862" s="0" t="str">
        <f aca="false">IF(C862=1,E862,IF(P862=1,$E$2003+Q862,""))</f>
        <v/>
      </c>
      <c r="E862" s="0" t="n">
        <f aca="false">E861+C862</f>
        <v>0</v>
      </c>
      <c r="P862" s="0" t="n">
        <f aca="false">IF(AND(Comments!B860='Policy card'!$C$3,Comments!N860="Closed"),1,0)</f>
        <v>0</v>
      </c>
      <c r="Q862" s="0" t="n">
        <f aca="false">Q861+P862</f>
        <v>7</v>
      </c>
    </row>
    <row r="863" customFormat="false" ht="15" hidden="false" customHeight="false" outlineLevel="0" collapsed="false">
      <c r="C863" s="0" t="n">
        <f aca="false">IF(AND(Comments!B861='Policy card'!$C$3,Comments!N861="Open"),1,0)</f>
        <v>0</v>
      </c>
      <c r="D863" s="0" t="str">
        <f aca="false">IF(C863=1,E863,IF(P863=1,$E$2003+Q863,""))</f>
        <v/>
      </c>
      <c r="E863" s="0" t="n">
        <f aca="false">E862+C863</f>
        <v>0</v>
      </c>
      <c r="P863" s="0" t="n">
        <f aca="false">IF(AND(Comments!B861='Policy card'!$C$3,Comments!N861="Closed"),1,0)</f>
        <v>0</v>
      </c>
      <c r="Q863" s="0" t="n">
        <f aca="false">Q862+P863</f>
        <v>7</v>
      </c>
    </row>
    <row r="864" customFormat="false" ht="15" hidden="false" customHeight="false" outlineLevel="0" collapsed="false">
      <c r="C864" s="0" t="n">
        <f aca="false">IF(AND(Comments!B862='Policy card'!$C$3,Comments!N862="Open"),1,0)</f>
        <v>0</v>
      </c>
      <c r="D864" s="0" t="str">
        <f aca="false">IF(C864=1,E864,IF(P864=1,$E$2003+Q864,""))</f>
        <v/>
      </c>
      <c r="E864" s="0" t="n">
        <f aca="false">E863+C864</f>
        <v>0</v>
      </c>
      <c r="P864" s="0" t="n">
        <f aca="false">IF(AND(Comments!B862='Policy card'!$C$3,Comments!N862="Closed"),1,0)</f>
        <v>0</v>
      </c>
      <c r="Q864" s="0" t="n">
        <f aca="false">Q863+P864</f>
        <v>7</v>
      </c>
    </row>
    <row r="865" customFormat="false" ht="15" hidden="false" customHeight="false" outlineLevel="0" collapsed="false">
      <c r="C865" s="0" t="n">
        <f aca="false">IF(AND(Comments!B863='Policy card'!$C$3,Comments!N863="Open"),1,0)</f>
        <v>0</v>
      </c>
      <c r="D865" s="0" t="str">
        <f aca="false">IF(C865=1,E865,IF(P865=1,$E$2003+Q865,""))</f>
        <v/>
      </c>
      <c r="E865" s="0" t="n">
        <f aca="false">E864+C865</f>
        <v>0</v>
      </c>
      <c r="P865" s="0" t="n">
        <f aca="false">IF(AND(Comments!B863='Policy card'!$C$3,Comments!N863="Closed"),1,0)</f>
        <v>0</v>
      </c>
      <c r="Q865" s="0" t="n">
        <f aca="false">Q864+P865</f>
        <v>7</v>
      </c>
    </row>
    <row r="866" customFormat="false" ht="15" hidden="false" customHeight="false" outlineLevel="0" collapsed="false">
      <c r="C866" s="0" t="n">
        <f aca="false">IF(AND(Comments!B864='Policy card'!$C$3,Comments!N864="Open"),1,0)</f>
        <v>0</v>
      </c>
      <c r="D866" s="0" t="str">
        <f aca="false">IF(C866=1,E866,IF(P866=1,$E$2003+Q866,""))</f>
        <v/>
      </c>
      <c r="E866" s="0" t="n">
        <f aca="false">E865+C866</f>
        <v>0</v>
      </c>
      <c r="P866" s="0" t="n">
        <f aca="false">IF(AND(Comments!B864='Policy card'!$C$3,Comments!N864="Closed"),1,0)</f>
        <v>0</v>
      </c>
      <c r="Q866" s="0" t="n">
        <f aca="false">Q865+P866</f>
        <v>7</v>
      </c>
    </row>
    <row r="867" customFormat="false" ht="15" hidden="false" customHeight="false" outlineLevel="0" collapsed="false">
      <c r="C867" s="0" t="n">
        <f aca="false">IF(AND(Comments!B865='Policy card'!$C$3,Comments!N865="Open"),1,0)</f>
        <v>0</v>
      </c>
      <c r="D867" s="0" t="str">
        <f aca="false">IF(C867=1,E867,IF(P867=1,$E$2003+Q867,""))</f>
        <v/>
      </c>
      <c r="E867" s="0" t="n">
        <f aca="false">E866+C867</f>
        <v>0</v>
      </c>
      <c r="P867" s="0" t="n">
        <f aca="false">IF(AND(Comments!B865='Policy card'!$C$3,Comments!N865="Closed"),1,0)</f>
        <v>0</v>
      </c>
      <c r="Q867" s="0" t="n">
        <f aca="false">Q866+P867</f>
        <v>7</v>
      </c>
    </row>
    <row r="868" customFormat="false" ht="15" hidden="false" customHeight="false" outlineLevel="0" collapsed="false">
      <c r="C868" s="0" t="n">
        <f aca="false">IF(AND(Comments!B866='Policy card'!$C$3,Comments!N866="Open"),1,0)</f>
        <v>0</v>
      </c>
      <c r="D868" s="0" t="str">
        <f aca="false">IF(C868=1,E868,IF(P868=1,$E$2003+Q868,""))</f>
        <v/>
      </c>
      <c r="E868" s="0" t="n">
        <f aca="false">E867+C868</f>
        <v>0</v>
      </c>
      <c r="P868" s="0" t="n">
        <f aca="false">IF(AND(Comments!B866='Policy card'!$C$3,Comments!N866="Closed"),1,0)</f>
        <v>0</v>
      </c>
      <c r="Q868" s="0" t="n">
        <f aca="false">Q867+P868</f>
        <v>7</v>
      </c>
    </row>
    <row r="869" customFormat="false" ht="15" hidden="false" customHeight="false" outlineLevel="0" collapsed="false">
      <c r="C869" s="0" t="n">
        <f aca="false">IF(AND(Comments!B867='Policy card'!$C$3,Comments!N867="Open"),1,0)</f>
        <v>0</v>
      </c>
      <c r="D869" s="0" t="str">
        <f aca="false">IF(C869=1,E869,IF(P869=1,$E$2003+Q869,""))</f>
        <v/>
      </c>
      <c r="E869" s="0" t="n">
        <f aca="false">E868+C869</f>
        <v>0</v>
      </c>
      <c r="P869" s="0" t="n">
        <f aca="false">IF(AND(Comments!B867='Policy card'!$C$3,Comments!N867="Closed"),1,0)</f>
        <v>0</v>
      </c>
      <c r="Q869" s="0" t="n">
        <f aca="false">Q868+P869</f>
        <v>7</v>
      </c>
    </row>
    <row r="870" customFormat="false" ht="15" hidden="false" customHeight="false" outlineLevel="0" collapsed="false">
      <c r="C870" s="0" t="n">
        <f aca="false">IF(AND(Comments!B868='Policy card'!$C$3,Comments!N868="Open"),1,0)</f>
        <v>0</v>
      </c>
      <c r="D870" s="0" t="str">
        <f aca="false">IF(C870=1,E870,IF(P870=1,$E$2003+Q870,""))</f>
        <v/>
      </c>
      <c r="E870" s="0" t="n">
        <f aca="false">E869+C870</f>
        <v>0</v>
      </c>
      <c r="P870" s="0" t="n">
        <f aca="false">IF(AND(Comments!B868='Policy card'!$C$3,Comments!N868="Closed"),1,0)</f>
        <v>0</v>
      </c>
      <c r="Q870" s="0" t="n">
        <f aca="false">Q869+P870</f>
        <v>7</v>
      </c>
    </row>
    <row r="871" customFormat="false" ht="15" hidden="false" customHeight="false" outlineLevel="0" collapsed="false">
      <c r="C871" s="0" t="n">
        <f aca="false">IF(AND(Comments!B869='Policy card'!$C$3,Comments!N869="Open"),1,0)</f>
        <v>0</v>
      </c>
      <c r="D871" s="0" t="str">
        <f aca="false">IF(C871=1,E871,IF(P871=1,$E$2003+Q871,""))</f>
        <v/>
      </c>
      <c r="E871" s="0" t="n">
        <f aca="false">E870+C871</f>
        <v>0</v>
      </c>
      <c r="P871" s="0" t="n">
        <f aca="false">IF(AND(Comments!B869='Policy card'!$C$3,Comments!N869="Closed"),1,0)</f>
        <v>0</v>
      </c>
      <c r="Q871" s="0" t="n">
        <f aca="false">Q870+P871</f>
        <v>7</v>
      </c>
    </row>
    <row r="872" customFormat="false" ht="15" hidden="false" customHeight="false" outlineLevel="0" collapsed="false">
      <c r="C872" s="0" t="n">
        <f aca="false">IF(AND(Comments!B870='Policy card'!$C$3,Comments!N870="Open"),1,0)</f>
        <v>0</v>
      </c>
      <c r="D872" s="0" t="str">
        <f aca="false">IF(C872=1,E872,IF(P872=1,$E$2003+Q872,""))</f>
        <v/>
      </c>
      <c r="E872" s="0" t="n">
        <f aca="false">E871+C872</f>
        <v>0</v>
      </c>
      <c r="P872" s="0" t="n">
        <f aca="false">IF(AND(Comments!B870='Policy card'!$C$3,Comments!N870="Closed"),1,0)</f>
        <v>0</v>
      </c>
      <c r="Q872" s="0" t="n">
        <f aca="false">Q871+P872</f>
        <v>7</v>
      </c>
    </row>
    <row r="873" customFormat="false" ht="15" hidden="false" customHeight="false" outlineLevel="0" collapsed="false">
      <c r="C873" s="0" t="n">
        <f aca="false">IF(AND(Comments!B871='Policy card'!$C$3,Comments!N871="Open"),1,0)</f>
        <v>0</v>
      </c>
      <c r="D873" s="0" t="str">
        <f aca="false">IF(C873=1,E873,IF(P873=1,$E$2003+Q873,""))</f>
        <v/>
      </c>
      <c r="E873" s="0" t="n">
        <f aca="false">E872+C873</f>
        <v>0</v>
      </c>
      <c r="P873" s="0" t="n">
        <f aca="false">IF(AND(Comments!B871='Policy card'!$C$3,Comments!N871="Closed"),1,0)</f>
        <v>0</v>
      </c>
      <c r="Q873" s="0" t="n">
        <f aca="false">Q872+P873</f>
        <v>7</v>
      </c>
    </row>
    <row r="874" customFormat="false" ht="15" hidden="false" customHeight="false" outlineLevel="0" collapsed="false">
      <c r="C874" s="0" t="n">
        <f aca="false">IF(AND(Comments!B872='Policy card'!$C$3,Comments!N872="Open"),1,0)</f>
        <v>0</v>
      </c>
      <c r="D874" s="0" t="str">
        <f aca="false">IF(C874=1,E874,IF(P874=1,$E$2003+Q874,""))</f>
        <v/>
      </c>
      <c r="E874" s="0" t="n">
        <f aca="false">E873+C874</f>
        <v>0</v>
      </c>
      <c r="P874" s="0" t="n">
        <f aca="false">IF(AND(Comments!B872='Policy card'!$C$3,Comments!N872="Closed"),1,0)</f>
        <v>0</v>
      </c>
      <c r="Q874" s="0" t="n">
        <f aca="false">Q873+P874</f>
        <v>7</v>
      </c>
    </row>
    <row r="875" customFormat="false" ht="15" hidden="false" customHeight="false" outlineLevel="0" collapsed="false">
      <c r="C875" s="0" t="n">
        <f aca="false">IF(AND(Comments!B873='Policy card'!$C$3,Comments!N873="Open"),1,0)</f>
        <v>0</v>
      </c>
      <c r="D875" s="0" t="str">
        <f aca="false">IF(C875=1,E875,IF(P875=1,$E$2003+Q875,""))</f>
        <v/>
      </c>
      <c r="E875" s="0" t="n">
        <f aca="false">E874+C875</f>
        <v>0</v>
      </c>
      <c r="P875" s="0" t="n">
        <f aca="false">IF(AND(Comments!B873='Policy card'!$C$3,Comments!N873="Closed"),1,0)</f>
        <v>0</v>
      </c>
      <c r="Q875" s="0" t="n">
        <f aca="false">Q874+P875</f>
        <v>7</v>
      </c>
    </row>
    <row r="876" customFormat="false" ht="15" hidden="false" customHeight="false" outlineLevel="0" collapsed="false">
      <c r="C876" s="0" t="n">
        <f aca="false">IF(AND(Comments!B874='Policy card'!$C$3,Comments!N874="Open"),1,0)</f>
        <v>0</v>
      </c>
      <c r="D876" s="0" t="str">
        <f aca="false">IF(C876=1,E876,IF(P876=1,$E$2003+Q876,""))</f>
        <v/>
      </c>
      <c r="E876" s="0" t="n">
        <f aca="false">E875+C876</f>
        <v>0</v>
      </c>
      <c r="P876" s="0" t="n">
        <f aca="false">IF(AND(Comments!B874='Policy card'!$C$3,Comments!N874="Closed"),1,0)</f>
        <v>0</v>
      </c>
      <c r="Q876" s="0" t="n">
        <f aca="false">Q875+P876</f>
        <v>7</v>
      </c>
    </row>
    <row r="877" customFormat="false" ht="15" hidden="false" customHeight="false" outlineLevel="0" collapsed="false">
      <c r="C877" s="0" t="n">
        <f aca="false">IF(AND(Comments!B875='Policy card'!$C$3,Comments!N875="Open"),1,0)</f>
        <v>0</v>
      </c>
      <c r="D877" s="0" t="str">
        <f aca="false">IF(C877=1,E877,IF(P877=1,$E$2003+Q877,""))</f>
        <v/>
      </c>
      <c r="E877" s="0" t="n">
        <f aca="false">E876+C877</f>
        <v>0</v>
      </c>
      <c r="P877" s="0" t="n">
        <f aca="false">IF(AND(Comments!B875='Policy card'!$C$3,Comments!N875="Closed"),1,0)</f>
        <v>0</v>
      </c>
      <c r="Q877" s="0" t="n">
        <f aca="false">Q876+P877</f>
        <v>7</v>
      </c>
    </row>
    <row r="878" customFormat="false" ht="15" hidden="false" customHeight="false" outlineLevel="0" collapsed="false">
      <c r="C878" s="0" t="n">
        <f aca="false">IF(AND(Comments!B876='Policy card'!$C$3,Comments!N876="Open"),1,0)</f>
        <v>0</v>
      </c>
      <c r="D878" s="0" t="str">
        <f aca="false">IF(C878=1,E878,IF(P878=1,$E$2003+Q878,""))</f>
        <v/>
      </c>
      <c r="E878" s="0" t="n">
        <f aca="false">E877+C878</f>
        <v>0</v>
      </c>
      <c r="P878" s="0" t="n">
        <f aca="false">IF(AND(Comments!B876='Policy card'!$C$3,Comments!N876="Closed"),1,0)</f>
        <v>0</v>
      </c>
      <c r="Q878" s="0" t="n">
        <f aca="false">Q877+P878</f>
        <v>7</v>
      </c>
    </row>
    <row r="879" customFormat="false" ht="15" hidden="false" customHeight="false" outlineLevel="0" collapsed="false">
      <c r="C879" s="0" t="n">
        <f aca="false">IF(AND(Comments!B877='Policy card'!$C$3,Comments!N877="Open"),1,0)</f>
        <v>0</v>
      </c>
      <c r="D879" s="0" t="str">
        <f aca="false">IF(C879=1,E879,IF(P879=1,$E$2003+Q879,""))</f>
        <v/>
      </c>
      <c r="E879" s="0" t="n">
        <f aca="false">E878+C879</f>
        <v>0</v>
      </c>
      <c r="P879" s="0" t="n">
        <f aca="false">IF(AND(Comments!B877='Policy card'!$C$3,Comments!N877="Closed"),1,0)</f>
        <v>0</v>
      </c>
      <c r="Q879" s="0" t="n">
        <f aca="false">Q878+P879</f>
        <v>7</v>
      </c>
    </row>
    <row r="880" customFormat="false" ht="15" hidden="false" customHeight="false" outlineLevel="0" collapsed="false">
      <c r="C880" s="0" t="n">
        <f aca="false">IF(AND(Comments!B878='Policy card'!$C$3,Comments!N878="Open"),1,0)</f>
        <v>0</v>
      </c>
      <c r="D880" s="0" t="str">
        <f aca="false">IF(C880=1,E880,IF(P880=1,$E$2003+Q880,""))</f>
        <v/>
      </c>
      <c r="E880" s="0" t="n">
        <f aca="false">E879+C880</f>
        <v>0</v>
      </c>
      <c r="P880" s="0" t="n">
        <f aca="false">IF(AND(Comments!B878='Policy card'!$C$3,Comments!N878="Closed"),1,0)</f>
        <v>0</v>
      </c>
      <c r="Q880" s="0" t="n">
        <f aca="false">Q879+P880</f>
        <v>7</v>
      </c>
    </row>
    <row r="881" customFormat="false" ht="15" hidden="false" customHeight="false" outlineLevel="0" collapsed="false">
      <c r="C881" s="0" t="n">
        <f aca="false">IF(AND(Comments!B879='Policy card'!$C$3,Comments!N879="Open"),1,0)</f>
        <v>0</v>
      </c>
      <c r="D881" s="0" t="str">
        <f aca="false">IF(C881=1,E881,IF(P881=1,$E$2003+Q881,""))</f>
        <v/>
      </c>
      <c r="E881" s="0" t="n">
        <f aca="false">E880+C881</f>
        <v>0</v>
      </c>
      <c r="P881" s="0" t="n">
        <f aca="false">IF(AND(Comments!B879='Policy card'!$C$3,Comments!N879="Closed"),1,0)</f>
        <v>0</v>
      </c>
      <c r="Q881" s="0" t="n">
        <f aca="false">Q880+P881</f>
        <v>7</v>
      </c>
    </row>
    <row r="882" customFormat="false" ht="15" hidden="false" customHeight="false" outlineLevel="0" collapsed="false">
      <c r="C882" s="0" t="n">
        <f aca="false">IF(AND(Comments!B880='Policy card'!$C$3,Comments!N880="Open"),1,0)</f>
        <v>0</v>
      </c>
      <c r="D882" s="0" t="str">
        <f aca="false">IF(C882=1,E882,IF(P882=1,$E$2003+Q882,""))</f>
        <v/>
      </c>
      <c r="E882" s="0" t="n">
        <f aca="false">E881+C882</f>
        <v>0</v>
      </c>
      <c r="P882" s="0" t="n">
        <f aca="false">IF(AND(Comments!B880='Policy card'!$C$3,Comments!N880="Closed"),1,0)</f>
        <v>0</v>
      </c>
      <c r="Q882" s="0" t="n">
        <f aca="false">Q881+P882</f>
        <v>7</v>
      </c>
    </row>
    <row r="883" customFormat="false" ht="15" hidden="false" customHeight="false" outlineLevel="0" collapsed="false">
      <c r="C883" s="0" t="n">
        <f aca="false">IF(AND(Comments!B881='Policy card'!$C$3,Comments!N881="Open"),1,0)</f>
        <v>0</v>
      </c>
      <c r="D883" s="0" t="str">
        <f aca="false">IF(C883=1,E883,IF(P883=1,$E$2003+Q883,""))</f>
        <v/>
      </c>
      <c r="E883" s="0" t="n">
        <f aca="false">E882+C883</f>
        <v>0</v>
      </c>
      <c r="P883" s="0" t="n">
        <f aca="false">IF(AND(Comments!B881='Policy card'!$C$3,Comments!N881="Closed"),1,0)</f>
        <v>0</v>
      </c>
      <c r="Q883" s="0" t="n">
        <f aca="false">Q882+P883</f>
        <v>7</v>
      </c>
    </row>
    <row r="884" customFormat="false" ht="15" hidden="false" customHeight="false" outlineLevel="0" collapsed="false">
      <c r="C884" s="0" t="n">
        <f aca="false">IF(AND(Comments!B882='Policy card'!$C$3,Comments!N882="Open"),1,0)</f>
        <v>0</v>
      </c>
      <c r="D884" s="0" t="str">
        <f aca="false">IF(C884=1,E884,IF(P884=1,$E$2003+Q884,""))</f>
        <v/>
      </c>
      <c r="E884" s="0" t="n">
        <f aca="false">E883+C884</f>
        <v>0</v>
      </c>
      <c r="P884" s="0" t="n">
        <f aca="false">IF(AND(Comments!B882='Policy card'!$C$3,Comments!N882="Closed"),1,0)</f>
        <v>0</v>
      </c>
      <c r="Q884" s="0" t="n">
        <f aca="false">Q883+P884</f>
        <v>7</v>
      </c>
    </row>
    <row r="885" customFormat="false" ht="15" hidden="false" customHeight="false" outlineLevel="0" collapsed="false">
      <c r="C885" s="0" t="n">
        <f aca="false">IF(AND(Comments!B883='Policy card'!$C$3,Comments!N883="Open"),1,0)</f>
        <v>0</v>
      </c>
      <c r="D885" s="0" t="str">
        <f aca="false">IF(C885=1,E885,IF(P885=1,$E$2003+Q885,""))</f>
        <v/>
      </c>
      <c r="E885" s="0" t="n">
        <f aca="false">E884+C885</f>
        <v>0</v>
      </c>
      <c r="P885" s="0" t="n">
        <f aca="false">IF(AND(Comments!B883='Policy card'!$C$3,Comments!N883="Closed"),1,0)</f>
        <v>0</v>
      </c>
      <c r="Q885" s="0" t="n">
        <f aca="false">Q884+P885</f>
        <v>7</v>
      </c>
    </row>
    <row r="886" customFormat="false" ht="15" hidden="false" customHeight="false" outlineLevel="0" collapsed="false">
      <c r="C886" s="0" t="n">
        <f aca="false">IF(AND(Comments!B884='Policy card'!$C$3,Comments!N884="Open"),1,0)</f>
        <v>0</v>
      </c>
      <c r="D886" s="0" t="str">
        <f aca="false">IF(C886=1,E886,IF(P886=1,$E$2003+Q886,""))</f>
        <v/>
      </c>
      <c r="E886" s="0" t="n">
        <f aca="false">E885+C886</f>
        <v>0</v>
      </c>
      <c r="P886" s="0" t="n">
        <f aca="false">IF(AND(Comments!B884='Policy card'!$C$3,Comments!N884="Closed"),1,0)</f>
        <v>0</v>
      </c>
      <c r="Q886" s="0" t="n">
        <f aca="false">Q885+P886</f>
        <v>7</v>
      </c>
    </row>
    <row r="887" customFormat="false" ht="15" hidden="false" customHeight="false" outlineLevel="0" collapsed="false">
      <c r="C887" s="0" t="n">
        <f aca="false">IF(AND(Comments!B885='Policy card'!$C$3,Comments!N885="Open"),1,0)</f>
        <v>0</v>
      </c>
      <c r="D887" s="0" t="str">
        <f aca="false">IF(C887=1,E887,IF(P887=1,$E$2003+Q887,""))</f>
        <v/>
      </c>
      <c r="E887" s="0" t="n">
        <f aca="false">E886+C887</f>
        <v>0</v>
      </c>
      <c r="P887" s="0" t="n">
        <f aca="false">IF(AND(Comments!B885='Policy card'!$C$3,Comments!N885="Closed"),1,0)</f>
        <v>0</v>
      </c>
      <c r="Q887" s="0" t="n">
        <f aca="false">Q886+P887</f>
        <v>7</v>
      </c>
    </row>
    <row r="888" customFormat="false" ht="15" hidden="false" customHeight="false" outlineLevel="0" collapsed="false">
      <c r="C888" s="0" t="n">
        <f aca="false">IF(AND(Comments!B886='Policy card'!$C$3,Comments!N886="Open"),1,0)</f>
        <v>0</v>
      </c>
      <c r="D888" s="0" t="str">
        <f aca="false">IF(C888=1,E888,IF(P888=1,$E$2003+Q888,""))</f>
        <v/>
      </c>
      <c r="E888" s="0" t="n">
        <f aca="false">E887+C888</f>
        <v>0</v>
      </c>
      <c r="P888" s="0" t="n">
        <f aca="false">IF(AND(Comments!B886='Policy card'!$C$3,Comments!N886="Closed"),1,0)</f>
        <v>0</v>
      </c>
      <c r="Q888" s="0" t="n">
        <f aca="false">Q887+P888</f>
        <v>7</v>
      </c>
    </row>
    <row r="889" customFormat="false" ht="15" hidden="false" customHeight="false" outlineLevel="0" collapsed="false">
      <c r="C889" s="0" t="n">
        <f aca="false">IF(AND(Comments!B887='Policy card'!$C$3,Comments!N887="Open"),1,0)</f>
        <v>0</v>
      </c>
      <c r="D889" s="0" t="str">
        <f aca="false">IF(C889=1,E889,IF(P889=1,$E$2003+Q889,""))</f>
        <v/>
      </c>
      <c r="E889" s="0" t="n">
        <f aca="false">E888+C889</f>
        <v>0</v>
      </c>
      <c r="P889" s="0" t="n">
        <f aca="false">IF(AND(Comments!B887='Policy card'!$C$3,Comments!N887="Closed"),1,0)</f>
        <v>0</v>
      </c>
      <c r="Q889" s="0" t="n">
        <f aca="false">Q888+P889</f>
        <v>7</v>
      </c>
    </row>
    <row r="890" customFormat="false" ht="15" hidden="false" customHeight="false" outlineLevel="0" collapsed="false">
      <c r="C890" s="0" t="n">
        <f aca="false">IF(AND(Comments!B888='Policy card'!$C$3,Comments!N888="Open"),1,0)</f>
        <v>0</v>
      </c>
      <c r="D890" s="0" t="str">
        <f aca="false">IF(C890=1,E890,IF(P890=1,$E$2003+Q890,""))</f>
        <v/>
      </c>
      <c r="E890" s="0" t="n">
        <f aca="false">E889+C890</f>
        <v>0</v>
      </c>
      <c r="P890" s="0" t="n">
        <f aca="false">IF(AND(Comments!B888='Policy card'!$C$3,Comments!N888="Closed"),1,0)</f>
        <v>0</v>
      </c>
      <c r="Q890" s="0" t="n">
        <f aca="false">Q889+P890</f>
        <v>7</v>
      </c>
    </row>
    <row r="891" customFormat="false" ht="15" hidden="false" customHeight="false" outlineLevel="0" collapsed="false">
      <c r="C891" s="0" t="n">
        <f aca="false">IF(AND(Comments!B889='Policy card'!$C$3,Comments!N889="Open"),1,0)</f>
        <v>0</v>
      </c>
      <c r="D891" s="0" t="str">
        <f aca="false">IF(C891=1,E891,IF(P891=1,$E$2003+Q891,""))</f>
        <v/>
      </c>
      <c r="E891" s="0" t="n">
        <f aca="false">E890+C891</f>
        <v>0</v>
      </c>
      <c r="P891" s="0" t="n">
        <f aca="false">IF(AND(Comments!B889='Policy card'!$C$3,Comments!N889="Closed"),1,0)</f>
        <v>0</v>
      </c>
      <c r="Q891" s="0" t="n">
        <f aca="false">Q890+P891</f>
        <v>7</v>
      </c>
    </row>
    <row r="892" customFormat="false" ht="15" hidden="false" customHeight="false" outlineLevel="0" collapsed="false">
      <c r="C892" s="0" t="n">
        <f aca="false">IF(AND(Comments!B890='Policy card'!$C$3,Comments!N890="Open"),1,0)</f>
        <v>0</v>
      </c>
      <c r="D892" s="0" t="str">
        <f aca="false">IF(C892=1,E892,IF(P892=1,$E$2003+Q892,""))</f>
        <v/>
      </c>
      <c r="E892" s="0" t="n">
        <f aca="false">E891+C892</f>
        <v>0</v>
      </c>
      <c r="P892" s="0" t="n">
        <f aca="false">IF(AND(Comments!B890='Policy card'!$C$3,Comments!N890="Closed"),1,0)</f>
        <v>0</v>
      </c>
      <c r="Q892" s="0" t="n">
        <f aca="false">Q891+P892</f>
        <v>7</v>
      </c>
    </row>
    <row r="893" customFormat="false" ht="15" hidden="false" customHeight="false" outlineLevel="0" collapsed="false">
      <c r="C893" s="0" t="n">
        <f aca="false">IF(AND(Comments!B891='Policy card'!$C$3,Comments!N891="Open"),1,0)</f>
        <v>0</v>
      </c>
      <c r="D893" s="0" t="str">
        <f aca="false">IF(C893=1,E893,IF(P893=1,$E$2003+Q893,""))</f>
        <v/>
      </c>
      <c r="E893" s="0" t="n">
        <f aca="false">E892+C893</f>
        <v>0</v>
      </c>
      <c r="P893" s="0" t="n">
        <f aca="false">IF(AND(Comments!B891='Policy card'!$C$3,Comments!N891="Closed"),1,0)</f>
        <v>0</v>
      </c>
      <c r="Q893" s="0" t="n">
        <f aca="false">Q892+P893</f>
        <v>7</v>
      </c>
    </row>
    <row r="894" customFormat="false" ht="15" hidden="false" customHeight="false" outlineLevel="0" collapsed="false">
      <c r="C894" s="0" t="n">
        <f aca="false">IF(AND(Comments!B892='Policy card'!$C$3,Comments!N892="Open"),1,0)</f>
        <v>0</v>
      </c>
      <c r="D894" s="0" t="str">
        <f aca="false">IF(C894=1,E894,IF(P894=1,$E$2003+Q894,""))</f>
        <v/>
      </c>
      <c r="E894" s="0" t="n">
        <f aca="false">E893+C894</f>
        <v>0</v>
      </c>
      <c r="P894" s="0" t="n">
        <f aca="false">IF(AND(Comments!B892='Policy card'!$C$3,Comments!N892="Closed"),1,0)</f>
        <v>0</v>
      </c>
      <c r="Q894" s="0" t="n">
        <f aca="false">Q893+P894</f>
        <v>7</v>
      </c>
    </row>
    <row r="895" customFormat="false" ht="15" hidden="false" customHeight="false" outlineLevel="0" collapsed="false">
      <c r="C895" s="0" t="n">
        <f aca="false">IF(AND(Comments!B893='Policy card'!$C$3,Comments!N893="Open"),1,0)</f>
        <v>0</v>
      </c>
      <c r="D895" s="0" t="str">
        <f aca="false">IF(C895=1,E895,IF(P895=1,$E$2003+Q895,""))</f>
        <v/>
      </c>
      <c r="E895" s="0" t="n">
        <f aca="false">E894+C895</f>
        <v>0</v>
      </c>
      <c r="P895" s="0" t="n">
        <f aca="false">IF(AND(Comments!B893='Policy card'!$C$3,Comments!N893="Closed"),1,0)</f>
        <v>0</v>
      </c>
      <c r="Q895" s="0" t="n">
        <f aca="false">Q894+P895</f>
        <v>7</v>
      </c>
    </row>
    <row r="896" customFormat="false" ht="15" hidden="false" customHeight="false" outlineLevel="0" collapsed="false">
      <c r="C896" s="0" t="n">
        <f aca="false">IF(AND(Comments!B894='Policy card'!$C$3,Comments!N894="Open"),1,0)</f>
        <v>0</v>
      </c>
      <c r="D896" s="0" t="str">
        <f aca="false">IF(C896=1,E896,IF(P896=1,$E$2003+Q896,""))</f>
        <v/>
      </c>
      <c r="E896" s="0" t="n">
        <f aca="false">E895+C896</f>
        <v>0</v>
      </c>
      <c r="P896" s="0" t="n">
        <f aca="false">IF(AND(Comments!B894='Policy card'!$C$3,Comments!N894="Closed"),1,0)</f>
        <v>0</v>
      </c>
      <c r="Q896" s="0" t="n">
        <f aca="false">Q895+P896</f>
        <v>7</v>
      </c>
    </row>
    <row r="897" customFormat="false" ht="15" hidden="false" customHeight="false" outlineLevel="0" collapsed="false">
      <c r="C897" s="0" t="n">
        <f aca="false">IF(AND(Comments!B895='Policy card'!$C$3,Comments!N895="Open"),1,0)</f>
        <v>0</v>
      </c>
      <c r="D897" s="0" t="str">
        <f aca="false">IF(C897=1,E897,IF(P897=1,$E$2003+Q897,""))</f>
        <v/>
      </c>
      <c r="E897" s="0" t="n">
        <f aca="false">E896+C897</f>
        <v>0</v>
      </c>
      <c r="P897" s="0" t="n">
        <f aca="false">IF(AND(Comments!B895='Policy card'!$C$3,Comments!N895="Closed"),1,0)</f>
        <v>0</v>
      </c>
      <c r="Q897" s="0" t="n">
        <f aca="false">Q896+P897</f>
        <v>7</v>
      </c>
    </row>
    <row r="898" customFormat="false" ht="15" hidden="false" customHeight="false" outlineLevel="0" collapsed="false">
      <c r="C898" s="0" t="n">
        <f aca="false">IF(AND(Comments!B896='Policy card'!$C$3,Comments!N896="Open"),1,0)</f>
        <v>0</v>
      </c>
      <c r="D898" s="0" t="str">
        <f aca="false">IF(C898=1,E898,IF(P898=1,$E$2003+Q898,""))</f>
        <v/>
      </c>
      <c r="E898" s="0" t="n">
        <f aca="false">E897+C898</f>
        <v>0</v>
      </c>
      <c r="P898" s="0" t="n">
        <f aca="false">IF(AND(Comments!B896='Policy card'!$C$3,Comments!N896="Closed"),1,0)</f>
        <v>0</v>
      </c>
      <c r="Q898" s="0" t="n">
        <f aca="false">Q897+P898</f>
        <v>7</v>
      </c>
    </row>
    <row r="899" customFormat="false" ht="15" hidden="false" customHeight="false" outlineLevel="0" collapsed="false">
      <c r="C899" s="0" t="n">
        <f aca="false">IF(AND(Comments!B897='Policy card'!$C$3,Comments!N897="Open"),1,0)</f>
        <v>0</v>
      </c>
      <c r="D899" s="0" t="str">
        <f aca="false">IF(C899=1,E899,IF(P899=1,$E$2003+Q899,""))</f>
        <v/>
      </c>
      <c r="E899" s="0" t="n">
        <f aca="false">E898+C899</f>
        <v>0</v>
      </c>
      <c r="P899" s="0" t="n">
        <f aca="false">IF(AND(Comments!B897='Policy card'!$C$3,Comments!N897="Closed"),1,0)</f>
        <v>0</v>
      </c>
      <c r="Q899" s="0" t="n">
        <f aca="false">Q898+P899</f>
        <v>7</v>
      </c>
    </row>
    <row r="900" customFormat="false" ht="15" hidden="false" customHeight="false" outlineLevel="0" collapsed="false">
      <c r="C900" s="0" t="n">
        <f aca="false">IF(AND(Comments!B898='Policy card'!$C$3,Comments!N898="Open"),1,0)</f>
        <v>0</v>
      </c>
      <c r="D900" s="0" t="str">
        <f aca="false">IF(C900=1,E900,IF(P900=1,$E$2003+Q900,""))</f>
        <v/>
      </c>
      <c r="E900" s="0" t="n">
        <f aca="false">E899+C900</f>
        <v>0</v>
      </c>
      <c r="P900" s="0" t="n">
        <f aca="false">IF(AND(Comments!B898='Policy card'!$C$3,Comments!N898="Closed"),1,0)</f>
        <v>0</v>
      </c>
      <c r="Q900" s="0" t="n">
        <f aca="false">Q899+P900</f>
        <v>7</v>
      </c>
    </row>
    <row r="901" customFormat="false" ht="15" hidden="false" customHeight="false" outlineLevel="0" collapsed="false">
      <c r="C901" s="0" t="n">
        <f aca="false">IF(AND(Comments!B899='Policy card'!$C$3,Comments!N899="Open"),1,0)</f>
        <v>0</v>
      </c>
      <c r="D901" s="0" t="str">
        <f aca="false">IF(C901=1,E901,IF(P901=1,$E$2003+Q901,""))</f>
        <v/>
      </c>
      <c r="E901" s="0" t="n">
        <f aca="false">E900+C901</f>
        <v>0</v>
      </c>
      <c r="P901" s="0" t="n">
        <f aca="false">IF(AND(Comments!B899='Policy card'!$C$3,Comments!N899="Closed"),1,0)</f>
        <v>0</v>
      </c>
      <c r="Q901" s="0" t="n">
        <f aca="false">Q900+P901</f>
        <v>7</v>
      </c>
    </row>
    <row r="902" customFormat="false" ht="15" hidden="false" customHeight="false" outlineLevel="0" collapsed="false">
      <c r="C902" s="0" t="n">
        <f aca="false">IF(AND(Comments!B900='Policy card'!$C$3,Comments!N900="Open"),1,0)</f>
        <v>0</v>
      </c>
      <c r="D902" s="0" t="str">
        <f aca="false">IF(C902=1,E902,IF(P902=1,$E$2003+Q902,""))</f>
        <v/>
      </c>
      <c r="E902" s="0" t="n">
        <f aca="false">E901+C902</f>
        <v>0</v>
      </c>
      <c r="P902" s="0" t="n">
        <f aca="false">IF(AND(Comments!B900='Policy card'!$C$3,Comments!N900="Closed"),1,0)</f>
        <v>0</v>
      </c>
      <c r="Q902" s="0" t="n">
        <f aca="false">Q901+P902</f>
        <v>7</v>
      </c>
    </row>
    <row r="903" customFormat="false" ht="15" hidden="false" customHeight="false" outlineLevel="0" collapsed="false">
      <c r="C903" s="0" t="n">
        <f aca="false">IF(AND(Comments!B901='Policy card'!$C$3,Comments!N901="Open"),1,0)</f>
        <v>0</v>
      </c>
      <c r="D903" s="0" t="str">
        <f aca="false">IF(C903=1,E903,IF(P903=1,$E$2003+Q903,""))</f>
        <v/>
      </c>
      <c r="E903" s="0" t="n">
        <f aca="false">E902+C903</f>
        <v>0</v>
      </c>
      <c r="P903" s="0" t="n">
        <f aca="false">IF(AND(Comments!B901='Policy card'!$C$3,Comments!N901="Closed"),1,0)</f>
        <v>0</v>
      </c>
      <c r="Q903" s="0" t="n">
        <f aca="false">Q902+P903</f>
        <v>7</v>
      </c>
    </row>
    <row r="904" customFormat="false" ht="15" hidden="false" customHeight="false" outlineLevel="0" collapsed="false">
      <c r="C904" s="0" t="n">
        <f aca="false">IF(AND(Comments!B902='Policy card'!$C$3,Comments!N902="Open"),1,0)</f>
        <v>0</v>
      </c>
      <c r="D904" s="0" t="str">
        <f aca="false">IF(C904=1,E904,IF(P904=1,$E$2003+Q904,""))</f>
        <v/>
      </c>
      <c r="E904" s="0" t="n">
        <f aca="false">E903+C904</f>
        <v>0</v>
      </c>
      <c r="P904" s="0" t="n">
        <f aca="false">IF(AND(Comments!B902='Policy card'!$C$3,Comments!N902="Closed"),1,0)</f>
        <v>0</v>
      </c>
      <c r="Q904" s="0" t="n">
        <f aca="false">Q903+P904</f>
        <v>7</v>
      </c>
    </row>
    <row r="905" customFormat="false" ht="15" hidden="false" customHeight="false" outlineLevel="0" collapsed="false">
      <c r="C905" s="0" t="n">
        <f aca="false">IF(AND(Comments!B903='Policy card'!$C$3,Comments!N903="Open"),1,0)</f>
        <v>0</v>
      </c>
      <c r="D905" s="0" t="str">
        <f aca="false">IF(C905=1,E905,IF(P905=1,$E$2003+Q905,""))</f>
        <v/>
      </c>
      <c r="E905" s="0" t="n">
        <f aca="false">E904+C905</f>
        <v>0</v>
      </c>
      <c r="P905" s="0" t="n">
        <f aca="false">IF(AND(Comments!B903='Policy card'!$C$3,Comments!N903="Closed"),1,0)</f>
        <v>0</v>
      </c>
      <c r="Q905" s="0" t="n">
        <f aca="false">Q904+P905</f>
        <v>7</v>
      </c>
    </row>
    <row r="906" customFormat="false" ht="15" hidden="false" customHeight="false" outlineLevel="0" collapsed="false">
      <c r="C906" s="0" t="n">
        <f aca="false">IF(AND(Comments!B904='Policy card'!$C$3,Comments!N904="Open"),1,0)</f>
        <v>0</v>
      </c>
      <c r="D906" s="0" t="str">
        <f aca="false">IF(C906=1,E906,IF(P906=1,$E$2003+Q906,""))</f>
        <v/>
      </c>
      <c r="E906" s="0" t="n">
        <f aca="false">E905+C906</f>
        <v>0</v>
      </c>
      <c r="P906" s="0" t="n">
        <f aca="false">IF(AND(Comments!B904='Policy card'!$C$3,Comments!N904="Closed"),1,0)</f>
        <v>0</v>
      </c>
      <c r="Q906" s="0" t="n">
        <f aca="false">Q905+P906</f>
        <v>7</v>
      </c>
    </row>
    <row r="907" customFormat="false" ht="15" hidden="false" customHeight="false" outlineLevel="0" collapsed="false">
      <c r="C907" s="0" t="n">
        <f aca="false">IF(AND(Comments!B905='Policy card'!$C$3,Comments!N905="Open"),1,0)</f>
        <v>0</v>
      </c>
      <c r="D907" s="0" t="str">
        <f aca="false">IF(C907=1,E907,IF(P907=1,$E$2003+Q907,""))</f>
        <v/>
      </c>
      <c r="E907" s="0" t="n">
        <f aca="false">E906+C907</f>
        <v>0</v>
      </c>
      <c r="P907" s="0" t="n">
        <f aca="false">IF(AND(Comments!B905='Policy card'!$C$3,Comments!N905="Closed"),1,0)</f>
        <v>0</v>
      </c>
      <c r="Q907" s="0" t="n">
        <f aca="false">Q906+P907</f>
        <v>7</v>
      </c>
    </row>
    <row r="908" customFormat="false" ht="15" hidden="false" customHeight="false" outlineLevel="0" collapsed="false">
      <c r="C908" s="0" t="n">
        <f aca="false">IF(AND(Comments!B906='Policy card'!$C$3,Comments!N906="Open"),1,0)</f>
        <v>0</v>
      </c>
      <c r="D908" s="0" t="str">
        <f aca="false">IF(C908=1,E908,IF(P908=1,$E$2003+Q908,""))</f>
        <v/>
      </c>
      <c r="E908" s="0" t="n">
        <f aca="false">E907+C908</f>
        <v>0</v>
      </c>
      <c r="P908" s="0" t="n">
        <f aca="false">IF(AND(Comments!B906='Policy card'!$C$3,Comments!N906="Closed"),1,0)</f>
        <v>0</v>
      </c>
      <c r="Q908" s="0" t="n">
        <f aca="false">Q907+P908</f>
        <v>7</v>
      </c>
    </row>
    <row r="909" customFormat="false" ht="15" hidden="false" customHeight="false" outlineLevel="0" collapsed="false">
      <c r="C909" s="0" t="n">
        <f aca="false">IF(AND(Comments!B907='Policy card'!$C$3,Comments!N907="Open"),1,0)</f>
        <v>0</v>
      </c>
      <c r="D909" s="0" t="str">
        <f aca="false">IF(C909=1,E909,IF(P909=1,$E$2003+Q909,""))</f>
        <v/>
      </c>
      <c r="E909" s="0" t="n">
        <f aca="false">E908+C909</f>
        <v>0</v>
      </c>
      <c r="P909" s="0" t="n">
        <f aca="false">IF(AND(Comments!B907='Policy card'!$C$3,Comments!N907="Closed"),1,0)</f>
        <v>0</v>
      </c>
      <c r="Q909" s="0" t="n">
        <f aca="false">Q908+P909</f>
        <v>7</v>
      </c>
    </row>
    <row r="910" customFormat="false" ht="15" hidden="false" customHeight="false" outlineLevel="0" collapsed="false">
      <c r="C910" s="0" t="n">
        <f aca="false">IF(AND(Comments!B908='Policy card'!$C$3,Comments!N908="Open"),1,0)</f>
        <v>0</v>
      </c>
      <c r="D910" s="0" t="str">
        <f aca="false">IF(C910=1,E910,IF(P910=1,$E$2003+Q910,""))</f>
        <v/>
      </c>
      <c r="E910" s="0" t="n">
        <f aca="false">E909+C910</f>
        <v>0</v>
      </c>
      <c r="P910" s="0" t="n">
        <f aca="false">IF(AND(Comments!B908='Policy card'!$C$3,Comments!N908="Closed"),1,0)</f>
        <v>0</v>
      </c>
      <c r="Q910" s="0" t="n">
        <f aca="false">Q909+P910</f>
        <v>7</v>
      </c>
    </row>
    <row r="911" customFormat="false" ht="15" hidden="false" customHeight="false" outlineLevel="0" collapsed="false">
      <c r="C911" s="0" t="n">
        <f aca="false">IF(AND(Comments!B909='Policy card'!$C$3,Comments!N909="Open"),1,0)</f>
        <v>0</v>
      </c>
      <c r="D911" s="0" t="str">
        <f aca="false">IF(C911=1,E911,IF(P911=1,$E$2003+Q911,""))</f>
        <v/>
      </c>
      <c r="E911" s="0" t="n">
        <f aca="false">E910+C911</f>
        <v>0</v>
      </c>
      <c r="P911" s="0" t="n">
        <f aca="false">IF(AND(Comments!B909='Policy card'!$C$3,Comments!N909="Closed"),1,0)</f>
        <v>0</v>
      </c>
      <c r="Q911" s="0" t="n">
        <f aca="false">Q910+P911</f>
        <v>7</v>
      </c>
    </row>
    <row r="912" customFormat="false" ht="15" hidden="false" customHeight="false" outlineLevel="0" collapsed="false">
      <c r="C912" s="0" t="n">
        <f aca="false">IF(AND(Comments!B910='Policy card'!$C$3,Comments!N910="Open"),1,0)</f>
        <v>0</v>
      </c>
      <c r="D912" s="0" t="str">
        <f aca="false">IF(C912=1,E912,IF(P912=1,$E$2003+Q912,""))</f>
        <v/>
      </c>
      <c r="E912" s="0" t="n">
        <f aca="false">E911+C912</f>
        <v>0</v>
      </c>
      <c r="P912" s="0" t="n">
        <f aca="false">IF(AND(Comments!B910='Policy card'!$C$3,Comments!N910="Closed"),1,0)</f>
        <v>0</v>
      </c>
      <c r="Q912" s="0" t="n">
        <f aca="false">Q911+P912</f>
        <v>7</v>
      </c>
    </row>
    <row r="913" customFormat="false" ht="15" hidden="false" customHeight="false" outlineLevel="0" collapsed="false">
      <c r="C913" s="0" t="n">
        <f aca="false">IF(AND(Comments!B911='Policy card'!$C$3,Comments!N911="Open"),1,0)</f>
        <v>0</v>
      </c>
      <c r="D913" s="0" t="str">
        <f aca="false">IF(C913=1,E913,IF(P913=1,$E$2003+Q913,""))</f>
        <v/>
      </c>
      <c r="E913" s="0" t="n">
        <f aca="false">E912+C913</f>
        <v>0</v>
      </c>
      <c r="P913" s="0" t="n">
        <f aca="false">IF(AND(Comments!B911='Policy card'!$C$3,Comments!N911="Closed"),1,0)</f>
        <v>0</v>
      </c>
      <c r="Q913" s="0" t="n">
        <f aca="false">Q912+P913</f>
        <v>7</v>
      </c>
    </row>
    <row r="914" customFormat="false" ht="15" hidden="false" customHeight="false" outlineLevel="0" collapsed="false">
      <c r="C914" s="0" t="n">
        <f aca="false">IF(AND(Comments!B912='Policy card'!$C$3,Comments!N912="Open"),1,0)</f>
        <v>0</v>
      </c>
      <c r="D914" s="0" t="str">
        <f aca="false">IF(C914=1,E914,IF(P914=1,$E$2003+Q914,""))</f>
        <v/>
      </c>
      <c r="E914" s="0" t="n">
        <f aca="false">E913+C914</f>
        <v>0</v>
      </c>
      <c r="P914" s="0" t="n">
        <f aca="false">IF(AND(Comments!B912='Policy card'!$C$3,Comments!N912="Closed"),1,0)</f>
        <v>0</v>
      </c>
      <c r="Q914" s="0" t="n">
        <f aca="false">Q913+P914</f>
        <v>7</v>
      </c>
    </row>
    <row r="915" customFormat="false" ht="15" hidden="false" customHeight="false" outlineLevel="0" collapsed="false">
      <c r="C915" s="0" t="n">
        <f aca="false">IF(AND(Comments!B913='Policy card'!$C$3,Comments!N913="Open"),1,0)</f>
        <v>0</v>
      </c>
      <c r="D915" s="0" t="str">
        <f aca="false">IF(C915=1,E915,IF(P915=1,$E$2003+Q915,""))</f>
        <v/>
      </c>
      <c r="E915" s="0" t="n">
        <f aca="false">E914+C915</f>
        <v>0</v>
      </c>
      <c r="P915" s="0" t="n">
        <f aca="false">IF(AND(Comments!B913='Policy card'!$C$3,Comments!N913="Closed"),1,0)</f>
        <v>0</v>
      </c>
      <c r="Q915" s="0" t="n">
        <f aca="false">Q914+P915</f>
        <v>7</v>
      </c>
    </row>
    <row r="916" customFormat="false" ht="15" hidden="false" customHeight="false" outlineLevel="0" collapsed="false">
      <c r="C916" s="0" t="n">
        <f aca="false">IF(AND(Comments!B914='Policy card'!$C$3,Comments!N914="Open"),1,0)</f>
        <v>0</v>
      </c>
      <c r="D916" s="0" t="str">
        <f aca="false">IF(C916=1,E916,IF(P916=1,$E$2003+Q916,""))</f>
        <v/>
      </c>
      <c r="E916" s="0" t="n">
        <f aca="false">E915+C916</f>
        <v>0</v>
      </c>
      <c r="P916" s="0" t="n">
        <f aca="false">IF(AND(Comments!B914='Policy card'!$C$3,Comments!N914="Closed"),1,0)</f>
        <v>0</v>
      </c>
      <c r="Q916" s="0" t="n">
        <f aca="false">Q915+P916</f>
        <v>7</v>
      </c>
    </row>
    <row r="917" customFormat="false" ht="15" hidden="false" customHeight="false" outlineLevel="0" collapsed="false">
      <c r="C917" s="0" t="n">
        <f aca="false">IF(AND(Comments!B915='Policy card'!$C$3,Comments!N915="Open"),1,0)</f>
        <v>0</v>
      </c>
      <c r="D917" s="0" t="str">
        <f aca="false">IF(C917=1,E917,IF(P917=1,$E$2003+Q917,""))</f>
        <v/>
      </c>
      <c r="E917" s="0" t="n">
        <f aca="false">E916+C917</f>
        <v>0</v>
      </c>
      <c r="P917" s="0" t="n">
        <f aca="false">IF(AND(Comments!B915='Policy card'!$C$3,Comments!N915="Closed"),1,0)</f>
        <v>0</v>
      </c>
      <c r="Q917" s="0" t="n">
        <f aca="false">Q916+P917</f>
        <v>7</v>
      </c>
    </row>
    <row r="918" customFormat="false" ht="15" hidden="false" customHeight="false" outlineLevel="0" collapsed="false">
      <c r="C918" s="0" t="n">
        <f aca="false">IF(AND(Comments!B916='Policy card'!$C$3,Comments!N916="Open"),1,0)</f>
        <v>0</v>
      </c>
      <c r="D918" s="0" t="str">
        <f aca="false">IF(C918=1,E918,IF(P918=1,$E$2003+Q918,""))</f>
        <v/>
      </c>
      <c r="E918" s="0" t="n">
        <f aca="false">E917+C918</f>
        <v>0</v>
      </c>
      <c r="P918" s="0" t="n">
        <f aca="false">IF(AND(Comments!B916='Policy card'!$C$3,Comments!N916="Closed"),1,0)</f>
        <v>0</v>
      </c>
      <c r="Q918" s="0" t="n">
        <f aca="false">Q917+P918</f>
        <v>7</v>
      </c>
    </row>
    <row r="919" customFormat="false" ht="15" hidden="false" customHeight="false" outlineLevel="0" collapsed="false">
      <c r="C919" s="0" t="n">
        <f aca="false">IF(AND(Comments!B917='Policy card'!$C$3,Comments!N917="Open"),1,0)</f>
        <v>0</v>
      </c>
      <c r="D919" s="0" t="str">
        <f aca="false">IF(C919=1,E919,IF(P919=1,$E$2003+Q919,""))</f>
        <v/>
      </c>
      <c r="E919" s="0" t="n">
        <f aca="false">E918+C919</f>
        <v>0</v>
      </c>
      <c r="P919" s="0" t="n">
        <f aca="false">IF(AND(Comments!B917='Policy card'!$C$3,Comments!N917="Closed"),1,0)</f>
        <v>0</v>
      </c>
      <c r="Q919" s="0" t="n">
        <f aca="false">Q918+P919</f>
        <v>7</v>
      </c>
    </row>
    <row r="920" customFormat="false" ht="15" hidden="false" customHeight="false" outlineLevel="0" collapsed="false">
      <c r="C920" s="0" t="n">
        <f aca="false">IF(AND(Comments!B918='Policy card'!$C$3,Comments!N918="Open"),1,0)</f>
        <v>0</v>
      </c>
      <c r="D920" s="0" t="str">
        <f aca="false">IF(C920=1,E920,IF(P920=1,$E$2003+Q920,""))</f>
        <v/>
      </c>
      <c r="E920" s="0" t="n">
        <f aca="false">E919+C920</f>
        <v>0</v>
      </c>
      <c r="P920" s="0" t="n">
        <f aca="false">IF(AND(Comments!B918='Policy card'!$C$3,Comments!N918="Closed"),1,0)</f>
        <v>0</v>
      </c>
      <c r="Q920" s="0" t="n">
        <f aca="false">Q919+P920</f>
        <v>7</v>
      </c>
    </row>
    <row r="921" customFormat="false" ht="15" hidden="false" customHeight="false" outlineLevel="0" collapsed="false">
      <c r="C921" s="0" t="n">
        <f aca="false">IF(AND(Comments!B919='Policy card'!$C$3,Comments!N919="Open"),1,0)</f>
        <v>0</v>
      </c>
      <c r="D921" s="0" t="str">
        <f aca="false">IF(C921=1,E921,IF(P921=1,$E$2003+Q921,""))</f>
        <v/>
      </c>
      <c r="E921" s="0" t="n">
        <f aca="false">E920+C921</f>
        <v>0</v>
      </c>
      <c r="P921" s="0" t="n">
        <f aca="false">IF(AND(Comments!B919='Policy card'!$C$3,Comments!N919="Closed"),1,0)</f>
        <v>0</v>
      </c>
      <c r="Q921" s="0" t="n">
        <f aca="false">Q920+P921</f>
        <v>7</v>
      </c>
    </row>
    <row r="922" customFormat="false" ht="15" hidden="false" customHeight="false" outlineLevel="0" collapsed="false">
      <c r="C922" s="0" t="n">
        <f aca="false">IF(AND(Comments!B920='Policy card'!$C$3,Comments!N920="Open"),1,0)</f>
        <v>0</v>
      </c>
      <c r="D922" s="0" t="str">
        <f aca="false">IF(C922=1,E922,IF(P922=1,$E$2003+Q922,""))</f>
        <v/>
      </c>
      <c r="E922" s="0" t="n">
        <f aca="false">E921+C922</f>
        <v>0</v>
      </c>
      <c r="P922" s="0" t="n">
        <f aca="false">IF(AND(Comments!B920='Policy card'!$C$3,Comments!N920="Closed"),1,0)</f>
        <v>0</v>
      </c>
      <c r="Q922" s="0" t="n">
        <f aca="false">Q921+P922</f>
        <v>7</v>
      </c>
    </row>
    <row r="923" customFormat="false" ht="15" hidden="false" customHeight="false" outlineLevel="0" collapsed="false">
      <c r="C923" s="0" t="n">
        <f aca="false">IF(AND(Comments!B921='Policy card'!$C$3,Comments!N921="Open"),1,0)</f>
        <v>0</v>
      </c>
      <c r="D923" s="0" t="str">
        <f aca="false">IF(C923=1,E923,IF(P923=1,$E$2003+Q923,""))</f>
        <v/>
      </c>
      <c r="E923" s="0" t="n">
        <f aca="false">E922+C923</f>
        <v>0</v>
      </c>
      <c r="P923" s="0" t="n">
        <f aca="false">IF(AND(Comments!B921='Policy card'!$C$3,Comments!N921="Closed"),1,0)</f>
        <v>0</v>
      </c>
      <c r="Q923" s="0" t="n">
        <f aca="false">Q922+P923</f>
        <v>7</v>
      </c>
    </row>
    <row r="924" customFormat="false" ht="15" hidden="false" customHeight="false" outlineLevel="0" collapsed="false">
      <c r="C924" s="0" t="n">
        <f aca="false">IF(AND(Comments!B922='Policy card'!$C$3,Comments!N922="Open"),1,0)</f>
        <v>0</v>
      </c>
      <c r="D924" s="0" t="str">
        <f aca="false">IF(C924=1,E924,IF(P924=1,$E$2003+Q924,""))</f>
        <v/>
      </c>
      <c r="E924" s="0" t="n">
        <f aca="false">E923+C924</f>
        <v>0</v>
      </c>
      <c r="P924" s="0" t="n">
        <f aca="false">IF(AND(Comments!B922='Policy card'!$C$3,Comments!N922="Closed"),1,0)</f>
        <v>0</v>
      </c>
      <c r="Q924" s="0" t="n">
        <f aca="false">Q923+P924</f>
        <v>7</v>
      </c>
    </row>
    <row r="925" customFormat="false" ht="15" hidden="false" customHeight="false" outlineLevel="0" collapsed="false">
      <c r="C925" s="0" t="n">
        <f aca="false">IF(AND(Comments!B923='Policy card'!$C$3,Comments!N923="Open"),1,0)</f>
        <v>0</v>
      </c>
      <c r="D925" s="0" t="str">
        <f aca="false">IF(C925=1,E925,IF(P925=1,$E$2003+Q925,""))</f>
        <v/>
      </c>
      <c r="E925" s="0" t="n">
        <f aca="false">E924+C925</f>
        <v>0</v>
      </c>
      <c r="P925" s="0" t="n">
        <f aca="false">IF(AND(Comments!B923='Policy card'!$C$3,Comments!N923="Closed"),1,0)</f>
        <v>0</v>
      </c>
      <c r="Q925" s="0" t="n">
        <f aca="false">Q924+P925</f>
        <v>7</v>
      </c>
    </row>
    <row r="926" customFormat="false" ht="15" hidden="false" customHeight="false" outlineLevel="0" collapsed="false">
      <c r="C926" s="0" t="n">
        <f aca="false">IF(AND(Comments!B924='Policy card'!$C$3,Comments!N924="Open"),1,0)</f>
        <v>0</v>
      </c>
      <c r="D926" s="0" t="str">
        <f aca="false">IF(C926=1,E926,IF(P926=1,$E$2003+Q926,""))</f>
        <v/>
      </c>
      <c r="E926" s="0" t="n">
        <f aca="false">E925+C926</f>
        <v>0</v>
      </c>
      <c r="P926" s="0" t="n">
        <f aca="false">IF(AND(Comments!B924='Policy card'!$C$3,Comments!N924="Closed"),1,0)</f>
        <v>0</v>
      </c>
      <c r="Q926" s="0" t="n">
        <f aca="false">Q925+P926</f>
        <v>7</v>
      </c>
    </row>
    <row r="927" customFormat="false" ht="15" hidden="false" customHeight="false" outlineLevel="0" collapsed="false">
      <c r="C927" s="0" t="n">
        <f aca="false">IF(AND(Comments!B925='Policy card'!$C$3,Comments!N925="Open"),1,0)</f>
        <v>0</v>
      </c>
      <c r="D927" s="0" t="str">
        <f aca="false">IF(C927=1,E927,IF(P927=1,$E$2003+Q927,""))</f>
        <v/>
      </c>
      <c r="E927" s="0" t="n">
        <f aca="false">E926+C927</f>
        <v>0</v>
      </c>
      <c r="P927" s="0" t="n">
        <f aca="false">IF(AND(Comments!B925='Policy card'!$C$3,Comments!N925="Closed"),1,0)</f>
        <v>0</v>
      </c>
      <c r="Q927" s="0" t="n">
        <f aca="false">Q926+P927</f>
        <v>7</v>
      </c>
    </row>
    <row r="928" customFormat="false" ht="15" hidden="false" customHeight="false" outlineLevel="0" collapsed="false">
      <c r="C928" s="0" t="n">
        <f aca="false">IF(AND(Comments!B926='Policy card'!$C$3,Comments!N926="Open"),1,0)</f>
        <v>0</v>
      </c>
      <c r="D928" s="0" t="str">
        <f aca="false">IF(C928=1,E928,IF(P928=1,$E$2003+Q928,""))</f>
        <v/>
      </c>
      <c r="E928" s="0" t="n">
        <f aca="false">E927+C928</f>
        <v>0</v>
      </c>
      <c r="P928" s="0" t="n">
        <f aca="false">IF(AND(Comments!B926='Policy card'!$C$3,Comments!N926="Closed"),1,0)</f>
        <v>0</v>
      </c>
      <c r="Q928" s="0" t="n">
        <f aca="false">Q927+P928</f>
        <v>7</v>
      </c>
    </row>
    <row r="929" customFormat="false" ht="15" hidden="false" customHeight="false" outlineLevel="0" collapsed="false">
      <c r="C929" s="0" t="n">
        <f aca="false">IF(AND(Comments!B927='Policy card'!$C$3,Comments!N927="Open"),1,0)</f>
        <v>0</v>
      </c>
      <c r="D929" s="0" t="str">
        <f aca="false">IF(C929=1,E929,IF(P929=1,$E$2003+Q929,""))</f>
        <v/>
      </c>
      <c r="E929" s="0" t="n">
        <f aca="false">E928+C929</f>
        <v>0</v>
      </c>
      <c r="P929" s="0" t="n">
        <f aca="false">IF(AND(Comments!B927='Policy card'!$C$3,Comments!N927="Closed"),1,0)</f>
        <v>0</v>
      </c>
      <c r="Q929" s="0" t="n">
        <f aca="false">Q928+P929</f>
        <v>7</v>
      </c>
    </row>
    <row r="930" customFormat="false" ht="15" hidden="false" customHeight="false" outlineLevel="0" collapsed="false">
      <c r="C930" s="0" t="n">
        <f aca="false">IF(AND(Comments!B928='Policy card'!$C$3,Comments!N928="Open"),1,0)</f>
        <v>0</v>
      </c>
      <c r="D930" s="0" t="str">
        <f aca="false">IF(C930=1,E930,IF(P930=1,$E$2003+Q930,""))</f>
        <v/>
      </c>
      <c r="E930" s="0" t="n">
        <f aca="false">E929+C930</f>
        <v>0</v>
      </c>
      <c r="P930" s="0" t="n">
        <f aca="false">IF(AND(Comments!B928='Policy card'!$C$3,Comments!N928="Closed"),1,0)</f>
        <v>0</v>
      </c>
      <c r="Q930" s="0" t="n">
        <f aca="false">Q929+P930</f>
        <v>7</v>
      </c>
    </row>
    <row r="931" customFormat="false" ht="15" hidden="false" customHeight="false" outlineLevel="0" collapsed="false">
      <c r="C931" s="0" t="n">
        <f aca="false">IF(AND(Comments!B929='Policy card'!$C$3,Comments!N929="Open"),1,0)</f>
        <v>0</v>
      </c>
      <c r="D931" s="0" t="str">
        <f aca="false">IF(C931=1,E931,IF(P931=1,$E$2003+Q931,""))</f>
        <v/>
      </c>
      <c r="E931" s="0" t="n">
        <f aca="false">E930+C931</f>
        <v>0</v>
      </c>
      <c r="P931" s="0" t="n">
        <f aca="false">IF(AND(Comments!B929='Policy card'!$C$3,Comments!N929="Closed"),1,0)</f>
        <v>0</v>
      </c>
      <c r="Q931" s="0" t="n">
        <f aca="false">Q930+P931</f>
        <v>7</v>
      </c>
    </row>
    <row r="932" customFormat="false" ht="15" hidden="false" customHeight="false" outlineLevel="0" collapsed="false">
      <c r="C932" s="0" t="n">
        <f aca="false">IF(AND(Comments!B930='Policy card'!$C$3,Comments!N930="Open"),1,0)</f>
        <v>0</v>
      </c>
      <c r="D932" s="0" t="str">
        <f aca="false">IF(C932=1,E932,IF(P932=1,$E$2003+Q932,""))</f>
        <v/>
      </c>
      <c r="E932" s="0" t="n">
        <f aca="false">E931+C932</f>
        <v>0</v>
      </c>
      <c r="P932" s="0" t="n">
        <f aca="false">IF(AND(Comments!B930='Policy card'!$C$3,Comments!N930="Closed"),1,0)</f>
        <v>0</v>
      </c>
      <c r="Q932" s="0" t="n">
        <f aca="false">Q931+P932</f>
        <v>7</v>
      </c>
    </row>
    <row r="933" customFormat="false" ht="15" hidden="false" customHeight="false" outlineLevel="0" collapsed="false">
      <c r="C933" s="0" t="n">
        <f aca="false">IF(AND(Comments!B931='Policy card'!$C$3,Comments!N931="Open"),1,0)</f>
        <v>0</v>
      </c>
      <c r="D933" s="0" t="str">
        <f aca="false">IF(C933=1,E933,IF(P933=1,$E$2003+Q933,""))</f>
        <v/>
      </c>
      <c r="E933" s="0" t="n">
        <f aca="false">E932+C933</f>
        <v>0</v>
      </c>
      <c r="P933" s="0" t="n">
        <f aca="false">IF(AND(Comments!B931='Policy card'!$C$3,Comments!N931="Closed"),1,0)</f>
        <v>0</v>
      </c>
      <c r="Q933" s="0" t="n">
        <f aca="false">Q932+P933</f>
        <v>7</v>
      </c>
    </row>
    <row r="934" customFormat="false" ht="15" hidden="false" customHeight="false" outlineLevel="0" collapsed="false">
      <c r="C934" s="0" t="n">
        <f aca="false">IF(AND(Comments!B932='Policy card'!$C$3,Comments!N932="Open"),1,0)</f>
        <v>0</v>
      </c>
      <c r="D934" s="0" t="str">
        <f aca="false">IF(C934=1,E934,IF(P934=1,$E$2003+Q934,""))</f>
        <v/>
      </c>
      <c r="E934" s="0" t="n">
        <f aca="false">E933+C934</f>
        <v>0</v>
      </c>
      <c r="P934" s="0" t="n">
        <f aca="false">IF(AND(Comments!B932='Policy card'!$C$3,Comments!N932="Closed"),1,0)</f>
        <v>0</v>
      </c>
      <c r="Q934" s="0" t="n">
        <f aca="false">Q933+P934</f>
        <v>7</v>
      </c>
    </row>
    <row r="935" customFormat="false" ht="15" hidden="false" customHeight="false" outlineLevel="0" collapsed="false">
      <c r="C935" s="0" t="n">
        <f aca="false">IF(AND(Comments!B933='Policy card'!$C$3,Comments!N933="Open"),1,0)</f>
        <v>0</v>
      </c>
      <c r="D935" s="0" t="str">
        <f aca="false">IF(C935=1,E935,IF(P935=1,$E$2003+Q935,""))</f>
        <v/>
      </c>
      <c r="E935" s="0" t="n">
        <f aca="false">E934+C935</f>
        <v>0</v>
      </c>
      <c r="P935" s="0" t="n">
        <f aca="false">IF(AND(Comments!B933='Policy card'!$C$3,Comments!N933="Closed"),1,0)</f>
        <v>0</v>
      </c>
      <c r="Q935" s="0" t="n">
        <f aca="false">Q934+P935</f>
        <v>7</v>
      </c>
    </row>
    <row r="936" customFormat="false" ht="15" hidden="false" customHeight="false" outlineLevel="0" collapsed="false">
      <c r="C936" s="0" t="n">
        <f aca="false">IF(AND(Comments!B934='Policy card'!$C$3,Comments!N934="Open"),1,0)</f>
        <v>0</v>
      </c>
      <c r="D936" s="0" t="str">
        <f aca="false">IF(C936=1,E936,IF(P936=1,$E$2003+Q936,""))</f>
        <v/>
      </c>
      <c r="E936" s="0" t="n">
        <f aca="false">E935+C936</f>
        <v>0</v>
      </c>
      <c r="P936" s="0" t="n">
        <f aca="false">IF(AND(Comments!B934='Policy card'!$C$3,Comments!N934="Closed"),1,0)</f>
        <v>0</v>
      </c>
      <c r="Q936" s="0" t="n">
        <f aca="false">Q935+P936</f>
        <v>7</v>
      </c>
    </row>
    <row r="937" customFormat="false" ht="15" hidden="false" customHeight="false" outlineLevel="0" collapsed="false">
      <c r="C937" s="0" t="n">
        <f aca="false">IF(AND(Comments!B935='Policy card'!$C$3,Comments!N935="Open"),1,0)</f>
        <v>0</v>
      </c>
      <c r="D937" s="0" t="str">
        <f aca="false">IF(C937=1,E937,IF(P937=1,$E$2003+Q937,""))</f>
        <v/>
      </c>
      <c r="E937" s="0" t="n">
        <f aca="false">E936+C937</f>
        <v>0</v>
      </c>
      <c r="P937" s="0" t="n">
        <f aca="false">IF(AND(Comments!B935='Policy card'!$C$3,Comments!N935="Closed"),1,0)</f>
        <v>0</v>
      </c>
      <c r="Q937" s="0" t="n">
        <f aca="false">Q936+P937</f>
        <v>7</v>
      </c>
    </row>
    <row r="938" customFormat="false" ht="15" hidden="false" customHeight="false" outlineLevel="0" collapsed="false">
      <c r="C938" s="0" t="n">
        <f aca="false">IF(AND(Comments!B936='Policy card'!$C$3,Comments!N936="Open"),1,0)</f>
        <v>0</v>
      </c>
      <c r="D938" s="0" t="str">
        <f aca="false">IF(C938=1,E938,IF(P938=1,$E$2003+Q938,""))</f>
        <v/>
      </c>
      <c r="E938" s="0" t="n">
        <f aca="false">E937+C938</f>
        <v>0</v>
      </c>
      <c r="P938" s="0" t="n">
        <f aca="false">IF(AND(Comments!B936='Policy card'!$C$3,Comments!N936="Closed"),1,0)</f>
        <v>0</v>
      </c>
      <c r="Q938" s="0" t="n">
        <f aca="false">Q937+P938</f>
        <v>7</v>
      </c>
    </row>
    <row r="939" customFormat="false" ht="15" hidden="false" customHeight="false" outlineLevel="0" collapsed="false">
      <c r="C939" s="0" t="n">
        <f aca="false">IF(AND(Comments!B937='Policy card'!$C$3,Comments!N937="Open"),1,0)</f>
        <v>0</v>
      </c>
      <c r="D939" s="0" t="str">
        <f aca="false">IF(C939=1,E939,IF(P939=1,$E$2003+Q939,""))</f>
        <v/>
      </c>
      <c r="E939" s="0" t="n">
        <f aca="false">E938+C939</f>
        <v>0</v>
      </c>
      <c r="P939" s="0" t="n">
        <f aca="false">IF(AND(Comments!B937='Policy card'!$C$3,Comments!N937="Closed"),1,0)</f>
        <v>0</v>
      </c>
      <c r="Q939" s="0" t="n">
        <f aca="false">Q938+P939</f>
        <v>7</v>
      </c>
    </row>
    <row r="940" customFormat="false" ht="15" hidden="false" customHeight="false" outlineLevel="0" collapsed="false">
      <c r="C940" s="0" t="n">
        <f aca="false">IF(AND(Comments!B938='Policy card'!$C$3,Comments!N938="Open"),1,0)</f>
        <v>0</v>
      </c>
      <c r="D940" s="0" t="str">
        <f aca="false">IF(C940=1,E940,IF(P940=1,$E$2003+Q940,""))</f>
        <v/>
      </c>
      <c r="E940" s="0" t="n">
        <f aca="false">E939+C940</f>
        <v>0</v>
      </c>
      <c r="P940" s="0" t="n">
        <f aca="false">IF(AND(Comments!B938='Policy card'!$C$3,Comments!N938="Closed"),1,0)</f>
        <v>0</v>
      </c>
      <c r="Q940" s="0" t="n">
        <f aca="false">Q939+P940</f>
        <v>7</v>
      </c>
    </row>
    <row r="941" customFormat="false" ht="15" hidden="false" customHeight="false" outlineLevel="0" collapsed="false">
      <c r="C941" s="0" t="n">
        <f aca="false">IF(AND(Comments!B939='Policy card'!$C$3,Comments!N939="Open"),1,0)</f>
        <v>0</v>
      </c>
      <c r="D941" s="0" t="str">
        <f aca="false">IF(C941=1,E941,IF(P941=1,$E$2003+Q941,""))</f>
        <v/>
      </c>
      <c r="E941" s="0" t="n">
        <f aca="false">E940+C941</f>
        <v>0</v>
      </c>
      <c r="P941" s="0" t="n">
        <f aca="false">IF(AND(Comments!B939='Policy card'!$C$3,Comments!N939="Closed"),1,0)</f>
        <v>0</v>
      </c>
      <c r="Q941" s="0" t="n">
        <f aca="false">Q940+P941</f>
        <v>7</v>
      </c>
    </row>
    <row r="942" customFormat="false" ht="15" hidden="false" customHeight="false" outlineLevel="0" collapsed="false">
      <c r="C942" s="0" t="n">
        <f aca="false">IF(AND(Comments!B940='Policy card'!$C$3,Comments!N940="Open"),1,0)</f>
        <v>0</v>
      </c>
      <c r="D942" s="0" t="str">
        <f aca="false">IF(C942=1,E942,IF(P942=1,$E$2003+Q942,""))</f>
        <v/>
      </c>
      <c r="E942" s="0" t="n">
        <f aca="false">E941+C942</f>
        <v>0</v>
      </c>
      <c r="P942" s="0" t="n">
        <f aca="false">IF(AND(Comments!B940='Policy card'!$C$3,Comments!N940="Closed"),1,0)</f>
        <v>0</v>
      </c>
      <c r="Q942" s="0" t="n">
        <f aca="false">Q941+P942</f>
        <v>7</v>
      </c>
    </row>
    <row r="943" customFormat="false" ht="15" hidden="false" customHeight="false" outlineLevel="0" collapsed="false">
      <c r="C943" s="0" t="n">
        <f aca="false">IF(AND(Comments!B941='Policy card'!$C$3,Comments!N941="Open"),1,0)</f>
        <v>0</v>
      </c>
      <c r="D943" s="0" t="str">
        <f aca="false">IF(C943=1,E943,IF(P943=1,$E$2003+Q943,""))</f>
        <v/>
      </c>
      <c r="E943" s="0" t="n">
        <f aca="false">E942+C943</f>
        <v>0</v>
      </c>
      <c r="P943" s="0" t="n">
        <f aca="false">IF(AND(Comments!B941='Policy card'!$C$3,Comments!N941="Closed"),1,0)</f>
        <v>0</v>
      </c>
      <c r="Q943" s="0" t="n">
        <f aca="false">Q942+P943</f>
        <v>7</v>
      </c>
    </row>
    <row r="944" customFormat="false" ht="15" hidden="false" customHeight="false" outlineLevel="0" collapsed="false">
      <c r="C944" s="0" t="n">
        <f aca="false">IF(AND(Comments!B942='Policy card'!$C$3,Comments!N942="Open"),1,0)</f>
        <v>0</v>
      </c>
      <c r="D944" s="0" t="str">
        <f aca="false">IF(C944=1,E944,IF(P944=1,$E$2003+Q944,""))</f>
        <v/>
      </c>
      <c r="E944" s="0" t="n">
        <f aca="false">E943+C944</f>
        <v>0</v>
      </c>
      <c r="P944" s="0" t="n">
        <f aca="false">IF(AND(Comments!B942='Policy card'!$C$3,Comments!N942="Closed"),1,0)</f>
        <v>0</v>
      </c>
      <c r="Q944" s="0" t="n">
        <f aca="false">Q943+P944</f>
        <v>7</v>
      </c>
    </row>
    <row r="945" customFormat="false" ht="15" hidden="false" customHeight="false" outlineLevel="0" collapsed="false">
      <c r="C945" s="0" t="n">
        <f aca="false">IF(AND(Comments!B943='Policy card'!$C$3,Comments!N943="Open"),1,0)</f>
        <v>0</v>
      </c>
      <c r="D945" s="0" t="str">
        <f aca="false">IF(C945=1,E945,IF(P945=1,$E$2003+Q945,""))</f>
        <v/>
      </c>
      <c r="E945" s="0" t="n">
        <f aca="false">E944+C945</f>
        <v>0</v>
      </c>
      <c r="P945" s="0" t="n">
        <f aca="false">IF(AND(Comments!B943='Policy card'!$C$3,Comments!N943="Closed"),1,0)</f>
        <v>0</v>
      </c>
      <c r="Q945" s="0" t="n">
        <f aca="false">Q944+P945</f>
        <v>7</v>
      </c>
    </row>
    <row r="946" customFormat="false" ht="15" hidden="false" customHeight="false" outlineLevel="0" collapsed="false">
      <c r="C946" s="0" t="n">
        <f aca="false">IF(AND(Comments!B944='Policy card'!$C$3,Comments!N944="Open"),1,0)</f>
        <v>0</v>
      </c>
      <c r="D946" s="0" t="str">
        <f aca="false">IF(C946=1,E946,IF(P946=1,$E$2003+Q946,""))</f>
        <v/>
      </c>
      <c r="E946" s="0" t="n">
        <f aca="false">E945+C946</f>
        <v>0</v>
      </c>
      <c r="P946" s="0" t="n">
        <f aca="false">IF(AND(Comments!B944='Policy card'!$C$3,Comments!N944="Closed"),1,0)</f>
        <v>0</v>
      </c>
      <c r="Q946" s="0" t="n">
        <f aca="false">Q945+P946</f>
        <v>7</v>
      </c>
    </row>
    <row r="947" customFormat="false" ht="15" hidden="false" customHeight="false" outlineLevel="0" collapsed="false">
      <c r="C947" s="0" t="n">
        <f aca="false">IF(AND(Comments!B945='Policy card'!$C$3,Comments!N945="Open"),1,0)</f>
        <v>0</v>
      </c>
      <c r="D947" s="0" t="str">
        <f aca="false">IF(C947=1,E947,IF(P947=1,$E$2003+Q947,""))</f>
        <v/>
      </c>
      <c r="E947" s="0" t="n">
        <f aca="false">E946+C947</f>
        <v>0</v>
      </c>
      <c r="P947" s="0" t="n">
        <f aca="false">IF(AND(Comments!B945='Policy card'!$C$3,Comments!N945="Closed"),1,0)</f>
        <v>0</v>
      </c>
      <c r="Q947" s="0" t="n">
        <f aca="false">Q946+P947</f>
        <v>7</v>
      </c>
    </row>
    <row r="948" customFormat="false" ht="15" hidden="false" customHeight="false" outlineLevel="0" collapsed="false">
      <c r="C948" s="0" t="n">
        <f aca="false">IF(AND(Comments!B946='Policy card'!$C$3,Comments!N946="Open"),1,0)</f>
        <v>0</v>
      </c>
      <c r="D948" s="0" t="str">
        <f aca="false">IF(C948=1,E948,IF(P948=1,$E$2003+Q948,""))</f>
        <v/>
      </c>
      <c r="E948" s="0" t="n">
        <f aca="false">E947+C948</f>
        <v>0</v>
      </c>
      <c r="P948" s="0" t="n">
        <f aca="false">IF(AND(Comments!B946='Policy card'!$C$3,Comments!N946="Closed"),1,0)</f>
        <v>0</v>
      </c>
      <c r="Q948" s="0" t="n">
        <f aca="false">Q947+P948</f>
        <v>7</v>
      </c>
    </row>
    <row r="949" customFormat="false" ht="15" hidden="false" customHeight="false" outlineLevel="0" collapsed="false">
      <c r="C949" s="0" t="n">
        <f aca="false">IF(AND(Comments!B947='Policy card'!$C$3,Comments!N947="Open"),1,0)</f>
        <v>0</v>
      </c>
      <c r="D949" s="0" t="str">
        <f aca="false">IF(C949=1,E949,IF(P949=1,$E$2003+Q949,""))</f>
        <v/>
      </c>
      <c r="E949" s="0" t="n">
        <f aca="false">E948+C949</f>
        <v>0</v>
      </c>
      <c r="P949" s="0" t="n">
        <f aca="false">IF(AND(Comments!B947='Policy card'!$C$3,Comments!N947="Closed"),1,0)</f>
        <v>0</v>
      </c>
      <c r="Q949" s="0" t="n">
        <f aca="false">Q948+P949</f>
        <v>7</v>
      </c>
    </row>
    <row r="950" customFormat="false" ht="15" hidden="false" customHeight="false" outlineLevel="0" collapsed="false">
      <c r="C950" s="0" t="n">
        <f aca="false">IF(AND(Comments!B948='Policy card'!$C$3,Comments!N948="Open"),1,0)</f>
        <v>0</v>
      </c>
      <c r="D950" s="0" t="str">
        <f aca="false">IF(C950=1,E950,IF(P950=1,$E$2003+Q950,""))</f>
        <v/>
      </c>
      <c r="E950" s="0" t="n">
        <f aca="false">E949+C950</f>
        <v>0</v>
      </c>
      <c r="P950" s="0" t="n">
        <f aca="false">IF(AND(Comments!B948='Policy card'!$C$3,Comments!N948="Closed"),1,0)</f>
        <v>0</v>
      </c>
      <c r="Q950" s="0" t="n">
        <f aca="false">Q949+P950</f>
        <v>7</v>
      </c>
    </row>
    <row r="951" customFormat="false" ht="15" hidden="false" customHeight="false" outlineLevel="0" collapsed="false">
      <c r="C951" s="0" t="n">
        <f aca="false">IF(AND(Comments!B949='Policy card'!$C$3,Comments!N949="Open"),1,0)</f>
        <v>0</v>
      </c>
      <c r="D951" s="0" t="str">
        <f aca="false">IF(C951=1,E951,IF(P951=1,$E$2003+Q951,""))</f>
        <v/>
      </c>
      <c r="E951" s="0" t="n">
        <f aca="false">E950+C951</f>
        <v>0</v>
      </c>
      <c r="P951" s="0" t="n">
        <f aca="false">IF(AND(Comments!B949='Policy card'!$C$3,Comments!N949="Closed"),1,0)</f>
        <v>0</v>
      </c>
      <c r="Q951" s="0" t="n">
        <f aca="false">Q950+P951</f>
        <v>7</v>
      </c>
    </row>
    <row r="952" customFormat="false" ht="15" hidden="false" customHeight="false" outlineLevel="0" collapsed="false">
      <c r="C952" s="0" t="n">
        <f aca="false">IF(AND(Comments!B950='Policy card'!$C$3,Comments!N950="Open"),1,0)</f>
        <v>0</v>
      </c>
      <c r="D952" s="0" t="str">
        <f aca="false">IF(C952=1,E952,IF(P952=1,$E$2003+Q952,""))</f>
        <v/>
      </c>
      <c r="E952" s="0" t="n">
        <f aca="false">E951+C952</f>
        <v>0</v>
      </c>
      <c r="P952" s="0" t="n">
        <f aca="false">IF(AND(Comments!B950='Policy card'!$C$3,Comments!N950="Closed"),1,0)</f>
        <v>0</v>
      </c>
      <c r="Q952" s="0" t="n">
        <f aca="false">Q951+P952</f>
        <v>7</v>
      </c>
    </row>
    <row r="953" customFormat="false" ht="15" hidden="false" customHeight="false" outlineLevel="0" collapsed="false">
      <c r="C953" s="0" t="n">
        <f aca="false">IF(AND(Comments!B951='Policy card'!$C$3,Comments!N951="Open"),1,0)</f>
        <v>0</v>
      </c>
      <c r="D953" s="0" t="str">
        <f aca="false">IF(C953=1,E953,IF(P953=1,$E$2003+Q953,""))</f>
        <v/>
      </c>
      <c r="E953" s="0" t="n">
        <f aca="false">E952+C953</f>
        <v>0</v>
      </c>
      <c r="P953" s="0" t="n">
        <f aca="false">IF(AND(Comments!B951='Policy card'!$C$3,Comments!N951="Closed"),1,0)</f>
        <v>0</v>
      </c>
      <c r="Q953" s="0" t="n">
        <f aca="false">Q952+P953</f>
        <v>7</v>
      </c>
    </row>
    <row r="954" customFormat="false" ht="15" hidden="false" customHeight="false" outlineLevel="0" collapsed="false">
      <c r="C954" s="0" t="n">
        <f aca="false">IF(AND(Comments!B952='Policy card'!$C$3,Comments!N952="Open"),1,0)</f>
        <v>0</v>
      </c>
      <c r="D954" s="0" t="str">
        <f aca="false">IF(C954=1,E954,IF(P954=1,$E$2003+Q954,""))</f>
        <v/>
      </c>
      <c r="E954" s="0" t="n">
        <f aca="false">E953+C954</f>
        <v>0</v>
      </c>
      <c r="P954" s="0" t="n">
        <f aca="false">IF(AND(Comments!B952='Policy card'!$C$3,Comments!N952="Closed"),1,0)</f>
        <v>0</v>
      </c>
      <c r="Q954" s="0" t="n">
        <f aca="false">Q953+P954</f>
        <v>7</v>
      </c>
    </row>
    <row r="955" customFormat="false" ht="15" hidden="false" customHeight="false" outlineLevel="0" collapsed="false">
      <c r="C955" s="0" t="n">
        <f aca="false">IF(AND(Comments!B953='Policy card'!$C$3,Comments!N953="Open"),1,0)</f>
        <v>0</v>
      </c>
      <c r="D955" s="0" t="str">
        <f aca="false">IF(C955=1,E955,IF(P955=1,$E$2003+Q955,""))</f>
        <v/>
      </c>
      <c r="E955" s="0" t="n">
        <f aca="false">E954+C955</f>
        <v>0</v>
      </c>
      <c r="P955" s="0" t="n">
        <f aca="false">IF(AND(Comments!B953='Policy card'!$C$3,Comments!N953="Closed"),1,0)</f>
        <v>0</v>
      </c>
      <c r="Q955" s="0" t="n">
        <f aca="false">Q954+P955</f>
        <v>7</v>
      </c>
    </row>
    <row r="956" customFormat="false" ht="15" hidden="false" customHeight="false" outlineLevel="0" collapsed="false">
      <c r="C956" s="0" t="n">
        <f aca="false">IF(AND(Comments!B954='Policy card'!$C$3,Comments!N954="Open"),1,0)</f>
        <v>0</v>
      </c>
      <c r="D956" s="0" t="str">
        <f aca="false">IF(C956=1,E956,IF(P956=1,$E$2003+Q956,""))</f>
        <v/>
      </c>
      <c r="E956" s="0" t="n">
        <f aca="false">E955+C956</f>
        <v>0</v>
      </c>
      <c r="P956" s="0" t="n">
        <f aca="false">IF(AND(Comments!B954='Policy card'!$C$3,Comments!N954="Closed"),1,0)</f>
        <v>0</v>
      </c>
      <c r="Q956" s="0" t="n">
        <f aca="false">Q955+P956</f>
        <v>7</v>
      </c>
    </row>
    <row r="957" customFormat="false" ht="15" hidden="false" customHeight="false" outlineLevel="0" collapsed="false">
      <c r="C957" s="0" t="n">
        <f aca="false">IF(AND(Comments!B955='Policy card'!$C$3,Comments!N955="Open"),1,0)</f>
        <v>0</v>
      </c>
      <c r="D957" s="0" t="str">
        <f aca="false">IF(C957=1,E957,IF(P957=1,$E$2003+Q957,""))</f>
        <v/>
      </c>
      <c r="E957" s="0" t="n">
        <f aca="false">E956+C957</f>
        <v>0</v>
      </c>
      <c r="P957" s="0" t="n">
        <f aca="false">IF(AND(Comments!B955='Policy card'!$C$3,Comments!N955="Closed"),1,0)</f>
        <v>0</v>
      </c>
      <c r="Q957" s="0" t="n">
        <f aca="false">Q956+P957</f>
        <v>7</v>
      </c>
    </row>
    <row r="958" customFormat="false" ht="15" hidden="false" customHeight="false" outlineLevel="0" collapsed="false">
      <c r="C958" s="0" t="n">
        <f aca="false">IF(AND(Comments!B956='Policy card'!$C$3,Comments!N956="Open"),1,0)</f>
        <v>0</v>
      </c>
      <c r="D958" s="0" t="str">
        <f aca="false">IF(C958=1,E958,IF(P958=1,$E$2003+Q958,""))</f>
        <v/>
      </c>
      <c r="E958" s="0" t="n">
        <f aca="false">E957+C958</f>
        <v>0</v>
      </c>
      <c r="P958" s="0" t="n">
        <f aca="false">IF(AND(Comments!B956='Policy card'!$C$3,Comments!N956="Closed"),1,0)</f>
        <v>0</v>
      </c>
      <c r="Q958" s="0" t="n">
        <f aca="false">Q957+P958</f>
        <v>7</v>
      </c>
    </row>
    <row r="959" customFormat="false" ht="15" hidden="false" customHeight="false" outlineLevel="0" collapsed="false">
      <c r="C959" s="0" t="n">
        <f aca="false">IF(AND(Comments!B957='Policy card'!$C$3,Comments!N957="Open"),1,0)</f>
        <v>0</v>
      </c>
      <c r="D959" s="0" t="str">
        <f aca="false">IF(C959=1,E959,IF(P959=1,$E$2003+Q959,""))</f>
        <v/>
      </c>
      <c r="E959" s="0" t="n">
        <f aca="false">E958+C959</f>
        <v>0</v>
      </c>
      <c r="P959" s="0" t="n">
        <f aca="false">IF(AND(Comments!B957='Policy card'!$C$3,Comments!N957="Closed"),1,0)</f>
        <v>0</v>
      </c>
      <c r="Q959" s="0" t="n">
        <f aca="false">Q958+P959</f>
        <v>7</v>
      </c>
    </row>
    <row r="960" customFormat="false" ht="15" hidden="false" customHeight="false" outlineLevel="0" collapsed="false">
      <c r="C960" s="0" t="n">
        <f aca="false">IF(AND(Comments!B958='Policy card'!$C$3,Comments!N958="Open"),1,0)</f>
        <v>0</v>
      </c>
      <c r="D960" s="0" t="str">
        <f aca="false">IF(C960=1,E960,IF(P960=1,$E$2003+Q960,""))</f>
        <v/>
      </c>
      <c r="E960" s="0" t="n">
        <f aca="false">E959+C960</f>
        <v>0</v>
      </c>
      <c r="P960" s="0" t="n">
        <f aca="false">IF(AND(Comments!B958='Policy card'!$C$3,Comments!N958="Closed"),1,0)</f>
        <v>0</v>
      </c>
      <c r="Q960" s="0" t="n">
        <f aca="false">Q959+P960</f>
        <v>7</v>
      </c>
    </row>
    <row r="961" customFormat="false" ht="15" hidden="false" customHeight="false" outlineLevel="0" collapsed="false">
      <c r="C961" s="0" t="n">
        <f aca="false">IF(AND(Comments!B959='Policy card'!$C$3,Comments!N959="Open"),1,0)</f>
        <v>0</v>
      </c>
      <c r="D961" s="0" t="str">
        <f aca="false">IF(C961=1,E961,IF(P961=1,$E$2003+Q961,""))</f>
        <v/>
      </c>
      <c r="E961" s="0" t="n">
        <f aca="false">E960+C961</f>
        <v>0</v>
      </c>
      <c r="P961" s="0" t="n">
        <f aca="false">IF(AND(Comments!B959='Policy card'!$C$3,Comments!N959="Closed"),1,0)</f>
        <v>0</v>
      </c>
      <c r="Q961" s="0" t="n">
        <f aca="false">Q960+P961</f>
        <v>7</v>
      </c>
    </row>
    <row r="962" customFormat="false" ht="15" hidden="false" customHeight="false" outlineLevel="0" collapsed="false">
      <c r="C962" s="0" t="n">
        <f aca="false">IF(AND(Comments!B960='Policy card'!$C$3,Comments!N960="Open"),1,0)</f>
        <v>0</v>
      </c>
      <c r="D962" s="0" t="str">
        <f aca="false">IF(C962=1,E962,IF(P962=1,$E$2003+Q962,""))</f>
        <v/>
      </c>
      <c r="E962" s="0" t="n">
        <f aca="false">E961+C962</f>
        <v>0</v>
      </c>
      <c r="P962" s="0" t="n">
        <f aca="false">IF(AND(Comments!B960='Policy card'!$C$3,Comments!N960="Closed"),1,0)</f>
        <v>0</v>
      </c>
      <c r="Q962" s="0" t="n">
        <f aca="false">Q961+P962</f>
        <v>7</v>
      </c>
    </row>
    <row r="963" customFormat="false" ht="15" hidden="false" customHeight="false" outlineLevel="0" collapsed="false">
      <c r="C963" s="0" t="n">
        <f aca="false">IF(AND(Comments!B961='Policy card'!$C$3,Comments!N961="Open"),1,0)</f>
        <v>0</v>
      </c>
      <c r="D963" s="0" t="str">
        <f aca="false">IF(C963=1,E963,IF(P963=1,$E$2003+Q963,""))</f>
        <v/>
      </c>
      <c r="E963" s="0" t="n">
        <f aca="false">E962+C963</f>
        <v>0</v>
      </c>
      <c r="P963" s="0" t="n">
        <f aca="false">IF(AND(Comments!B961='Policy card'!$C$3,Comments!N961="Closed"),1,0)</f>
        <v>0</v>
      </c>
      <c r="Q963" s="0" t="n">
        <f aca="false">Q962+P963</f>
        <v>7</v>
      </c>
    </row>
    <row r="964" customFormat="false" ht="15" hidden="false" customHeight="false" outlineLevel="0" collapsed="false">
      <c r="C964" s="0" t="n">
        <f aca="false">IF(AND(Comments!B962='Policy card'!$C$3,Comments!N962="Open"),1,0)</f>
        <v>0</v>
      </c>
      <c r="D964" s="0" t="str">
        <f aca="false">IF(C964=1,E964,IF(P964=1,$E$2003+Q964,""))</f>
        <v/>
      </c>
      <c r="E964" s="0" t="n">
        <f aca="false">E963+C964</f>
        <v>0</v>
      </c>
      <c r="P964" s="0" t="n">
        <f aca="false">IF(AND(Comments!B962='Policy card'!$C$3,Comments!N962="Closed"),1,0)</f>
        <v>0</v>
      </c>
      <c r="Q964" s="0" t="n">
        <f aca="false">Q963+P964</f>
        <v>7</v>
      </c>
    </row>
    <row r="965" customFormat="false" ht="15" hidden="false" customHeight="false" outlineLevel="0" collapsed="false">
      <c r="C965" s="0" t="n">
        <f aca="false">IF(AND(Comments!B963='Policy card'!$C$3,Comments!N963="Open"),1,0)</f>
        <v>0</v>
      </c>
      <c r="D965" s="0" t="str">
        <f aca="false">IF(C965=1,E965,IF(P965=1,$E$2003+Q965,""))</f>
        <v/>
      </c>
      <c r="E965" s="0" t="n">
        <f aca="false">E964+C965</f>
        <v>0</v>
      </c>
      <c r="P965" s="0" t="n">
        <f aca="false">IF(AND(Comments!B963='Policy card'!$C$3,Comments!N963="Closed"),1,0)</f>
        <v>0</v>
      </c>
      <c r="Q965" s="0" t="n">
        <f aca="false">Q964+P965</f>
        <v>7</v>
      </c>
    </row>
    <row r="966" customFormat="false" ht="15" hidden="false" customHeight="false" outlineLevel="0" collapsed="false">
      <c r="C966" s="0" t="n">
        <f aca="false">IF(AND(Comments!B964='Policy card'!$C$3,Comments!N964="Open"),1,0)</f>
        <v>0</v>
      </c>
      <c r="D966" s="0" t="str">
        <f aca="false">IF(C966=1,E966,IF(P966=1,$E$2003+Q966,""))</f>
        <v/>
      </c>
      <c r="E966" s="0" t="n">
        <f aca="false">E965+C966</f>
        <v>0</v>
      </c>
      <c r="P966" s="0" t="n">
        <f aca="false">IF(AND(Comments!B964='Policy card'!$C$3,Comments!N964="Closed"),1,0)</f>
        <v>0</v>
      </c>
      <c r="Q966" s="0" t="n">
        <f aca="false">Q965+P966</f>
        <v>7</v>
      </c>
    </row>
    <row r="967" customFormat="false" ht="15" hidden="false" customHeight="false" outlineLevel="0" collapsed="false">
      <c r="C967" s="0" t="n">
        <f aca="false">IF(AND(Comments!B965='Policy card'!$C$3,Comments!N965="Open"),1,0)</f>
        <v>0</v>
      </c>
      <c r="D967" s="0" t="str">
        <f aca="false">IF(C967=1,E967,IF(P967=1,$E$2003+Q967,""))</f>
        <v/>
      </c>
      <c r="E967" s="0" t="n">
        <f aca="false">E966+C967</f>
        <v>0</v>
      </c>
      <c r="P967" s="0" t="n">
        <f aca="false">IF(AND(Comments!B965='Policy card'!$C$3,Comments!N965="Closed"),1,0)</f>
        <v>0</v>
      </c>
      <c r="Q967" s="0" t="n">
        <f aca="false">Q966+P967</f>
        <v>7</v>
      </c>
    </row>
    <row r="968" customFormat="false" ht="15" hidden="false" customHeight="false" outlineLevel="0" collapsed="false">
      <c r="C968" s="0" t="n">
        <f aca="false">IF(AND(Comments!B966='Policy card'!$C$3,Comments!N966="Open"),1,0)</f>
        <v>0</v>
      </c>
      <c r="D968" s="0" t="str">
        <f aca="false">IF(C968=1,E968,IF(P968=1,$E$2003+Q968,""))</f>
        <v/>
      </c>
      <c r="E968" s="0" t="n">
        <f aca="false">E967+C968</f>
        <v>0</v>
      </c>
      <c r="P968" s="0" t="n">
        <f aca="false">IF(AND(Comments!B966='Policy card'!$C$3,Comments!N966="Closed"),1,0)</f>
        <v>0</v>
      </c>
      <c r="Q968" s="0" t="n">
        <f aca="false">Q967+P968</f>
        <v>7</v>
      </c>
    </row>
    <row r="969" customFormat="false" ht="15" hidden="false" customHeight="false" outlineLevel="0" collapsed="false">
      <c r="C969" s="0" t="n">
        <f aca="false">IF(AND(Comments!B967='Policy card'!$C$3,Comments!N967="Open"),1,0)</f>
        <v>0</v>
      </c>
      <c r="D969" s="0" t="str">
        <f aca="false">IF(C969=1,E969,IF(P969=1,$E$2003+Q969,""))</f>
        <v/>
      </c>
      <c r="E969" s="0" t="n">
        <f aca="false">E968+C969</f>
        <v>0</v>
      </c>
      <c r="P969" s="0" t="n">
        <f aca="false">IF(AND(Comments!B967='Policy card'!$C$3,Comments!N967="Closed"),1,0)</f>
        <v>0</v>
      </c>
      <c r="Q969" s="0" t="n">
        <f aca="false">Q968+P969</f>
        <v>7</v>
      </c>
    </row>
    <row r="970" customFormat="false" ht="15" hidden="false" customHeight="false" outlineLevel="0" collapsed="false">
      <c r="C970" s="0" t="n">
        <f aca="false">IF(AND(Comments!B968='Policy card'!$C$3,Comments!N968="Open"),1,0)</f>
        <v>0</v>
      </c>
      <c r="D970" s="0" t="str">
        <f aca="false">IF(C970=1,E970,IF(P970=1,$E$2003+Q970,""))</f>
        <v/>
      </c>
      <c r="E970" s="0" t="n">
        <f aca="false">E969+C970</f>
        <v>0</v>
      </c>
      <c r="P970" s="0" t="n">
        <f aca="false">IF(AND(Comments!B968='Policy card'!$C$3,Comments!N968="Closed"),1,0)</f>
        <v>0</v>
      </c>
      <c r="Q970" s="0" t="n">
        <f aca="false">Q969+P970</f>
        <v>7</v>
      </c>
    </row>
    <row r="971" customFormat="false" ht="15" hidden="false" customHeight="false" outlineLevel="0" collapsed="false">
      <c r="C971" s="0" t="n">
        <f aca="false">IF(AND(Comments!B969='Policy card'!$C$3,Comments!N969="Open"),1,0)</f>
        <v>0</v>
      </c>
      <c r="D971" s="0" t="str">
        <f aca="false">IF(C971=1,E971,IF(P971=1,$E$2003+Q971,""))</f>
        <v/>
      </c>
      <c r="E971" s="0" t="n">
        <f aca="false">E970+C971</f>
        <v>0</v>
      </c>
      <c r="P971" s="0" t="n">
        <f aca="false">IF(AND(Comments!B969='Policy card'!$C$3,Comments!N969="Closed"),1,0)</f>
        <v>0</v>
      </c>
      <c r="Q971" s="0" t="n">
        <f aca="false">Q970+P971</f>
        <v>7</v>
      </c>
    </row>
    <row r="972" customFormat="false" ht="15" hidden="false" customHeight="false" outlineLevel="0" collapsed="false">
      <c r="C972" s="0" t="n">
        <f aca="false">IF(AND(Comments!B970='Policy card'!$C$3,Comments!N970="Open"),1,0)</f>
        <v>0</v>
      </c>
      <c r="D972" s="0" t="str">
        <f aca="false">IF(C972=1,E972,IF(P972=1,$E$2003+Q972,""))</f>
        <v/>
      </c>
      <c r="E972" s="0" t="n">
        <f aca="false">E971+C972</f>
        <v>0</v>
      </c>
      <c r="P972" s="0" t="n">
        <f aca="false">IF(AND(Comments!B970='Policy card'!$C$3,Comments!N970="Closed"),1,0)</f>
        <v>0</v>
      </c>
      <c r="Q972" s="0" t="n">
        <f aca="false">Q971+P972</f>
        <v>7</v>
      </c>
    </row>
    <row r="973" customFormat="false" ht="15" hidden="false" customHeight="false" outlineLevel="0" collapsed="false">
      <c r="C973" s="0" t="n">
        <f aca="false">IF(AND(Comments!B971='Policy card'!$C$3,Comments!N971="Open"),1,0)</f>
        <v>0</v>
      </c>
      <c r="D973" s="0" t="str">
        <f aca="false">IF(C973=1,E973,IF(P973=1,$E$2003+Q973,""))</f>
        <v/>
      </c>
      <c r="E973" s="0" t="n">
        <f aca="false">E972+C973</f>
        <v>0</v>
      </c>
      <c r="P973" s="0" t="n">
        <f aca="false">IF(AND(Comments!B971='Policy card'!$C$3,Comments!N971="Closed"),1,0)</f>
        <v>0</v>
      </c>
      <c r="Q973" s="0" t="n">
        <f aca="false">Q972+P973</f>
        <v>7</v>
      </c>
    </row>
    <row r="974" customFormat="false" ht="15" hidden="false" customHeight="false" outlineLevel="0" collapsed="false">
      <c r="C974" s="0" t="n">
        <f aca="false">IF(AND(Comments!B972='Policy card'!$C$3,Comments!N972="Open"),1,0)</f>
        <v>0</v>
      </c>
      <c r="D974" s="0" t="str">
        <f aca="false">IF(C974=1,E974,IF(P974=1,$E$2003+Q974,""))</f>
        <v/>
      </c>
      <c r="E974" s="0" t="n">
        <f aca="false">E973+C974</f>
        <v>0</v>
      </c>
      <c r="P974" s="0" t="n">
        <f aca="false">IF(AND(Comments!B972='Policy card'!$C$3,Comments!N972="Closed"),1,0)</f>
        <v>0</v>
      </c>
      <c r="Q974" s="0" t="n">
        <f aca="false">Q973+P974</f>
        <v>7</v>
      </c>
    </row>
    <row r="975" customFormat="false" ht="15" hidden="false" customHeight="false" outlineLevel="0" collapsed="false">
      <c r="C975" s="0" t="n">
        <f aca="false">IF(AND(Comments!B973='Policy card'!$C$3,Comments!N973="Open"),1,0)</f>
        <v>0</v>
      </c>
      <c r="D975" s="0" t="str">
        <f aca="false">IF(C975=1,E975,IF(P975=1,$E$2003+Q975,""))</f>
        <v/>
      </c>
      <c r="E975" s="0" t="n">
        <f aca="false">E974+C975</f>
        <v>0</v>
      </c>
      <c r="P975" s="0" t="n">
        <f aca="false">IF(AND(Comments!B973='Policy card'!$C$3,Comments!N973="Closed"),1,0)</f>
        <v>0</v>
      </c>
      <c r="Q975" s="0" t="n">
        <f aca="false">Q974+P975</f>
        <v>7</v>
      </c>
    </row>
    <row r="976" customFormat="false" ht="15" hidden="false" customHeight="false" outlineLevel="0" collapsed="false">
      <c r="C976" s="0" t="n">
        <f aca="false">IF(AND(Comments!B974='Policy card'!$C$3,Comments!N974="Open"),1,0)</f>
        <v>0</v>
      </c>
      <c r="D976" s="0" t="str">
        <f aca="false">IF(C976=1,E976,IF(P976=1,$E$2003+Q976,""))</f>
        <v/>
      </c>
      <c r="E976" s="0" t="n">
        <f aca="false">E975+C976</f>
        <v>0</v>
      </c>
      <c r="P976" s="0" t="n">
        <f aca="false">IF(AND(Comments!B974='Policy card'!$C$3,Comments!N974="Closed"),1,0)</f>
        <v>0</v>
      </c>
      <c r="Q976" s="0" t="n">
        <f aca="false">Q975+P976</f>
        <v>7</v>
      </c>
    </row>
    <row r="977" customFormat="false" ht="15" hidden="false" customHeight="false" outlineLevel="0" collapsed="false">
      <c r="C977" s="0" t="n">
        <f aca="false">IF(AND(Comments!B975='Policy card'!$C$3,Comments!N975="Open"),1,0)</f>
        <v>0</v>
      </c>
      <c r="D977" s="0" t="str">
        <f aca="false">IF(C977=1,E977,IF(P977=1,$E$2003+Q977,""))</f>
        <v/>
      </c>
      <c r="E977" s="0" t="n">
        <f aca="false">E976+C977</f>
        <v>0</v>
      </c>
      <c r="P977" s="0" t="n">
        <f aca="false">IF(AND(Comments!B975='Policy card'!$C$3,Comments!N975="Closed"),1,0)</f>
        <v>0</v>
      </c>
      <c r="Q977" s="0" t="n">
        <f aca="false">Q976+P977</f>
        <v>7</v>
      </c>
    </row>
    <row r="978" customFormat="false" ht="15" hidden="false" customHeight="false" outlineLevel="0" collapsed="false">
      <c r="C978" s="0" t="n">
        <f aca="false">IF(AND(Comments!B976='Policy card'!$C$3,Comments!N976="Open"),1,0)</f>
        <v>0</v>
      </c>
      <c r="D978" s="0" t="str">
        <f aca="false">IF(C978=1,E978,IF(P978=1,$E$2003+Q978,""))</f>
        <v/>
      </c>
      <c r="E978" s="0" t="n">
        <f aca="false">E977+C978</f>
        <v>0</v>
      </c>
      <c r="P978" s="0" t="n">
        <f aca="false">IF(AND(Comments!B976='Policy card'!$C$3,Comments!N976="Closed"),1,0)</f>
        <v>0</v>
      </c>
      <c r="Q978" s="0" t="n">
        <f aca="false">Q977+P978</f>
        <v>7</v>
      </c>
    </row>
    <row r="979" customFormat="false" ht="15" hidden="false" customHeight="false" outlineLevel="0" collapsed="false">
      <c r="C979" s="0" t="n">
        <f aca="false">IF(AND(Comments!B977='Policy card'!$C$3,Comments!N977="Open"),1,0)</f>
        <v>0</v>
      </c>
      <c r="D979" s="0" t="str">
        <f aca="false">IF(C979=1,E979,IF(P979=1,$E$2003+Q979,""))</f>
        <v/>
      </c>
      <c r="E979" s="0" t="n">
        <f aca="false">E978+C979</f>
        <v>0</v>
      </c>
      <c r="P979" s="0" t="n">
        <f aca="false">IF(AND(Comments!B977='Policy card'!$C$3,Comments!N977="Closed"),1,0)</f>
        <v>0</v>
      </c>
      <c r="Q979" s="0" t="n">
        <f aca="false">Q978+P979</f>
        <v>7</v>
      </c>
    </row>
    <row r="980" customFormat="false" ht="15" hidden="false" customHeight="false" outlineLevel="0" collapsed="false">
      <c r="C980" s="0" t="n">
        <f aca="false">IF(AND(Comments!B978='Policy card'!$C$3,Comments!N978="Open"),1,0)</f>
        <v>0</v>
      </c>
      <c r="D980" s="0" t="str">
        <f aca="false">IF(C980=1,E980,IF(P980=1,$E$2003+Q980,""))</f>
        <v/>
      </c>
      <c r="E980" s="0" t="n">
        <f aca="false">E979+C980</f>
        <v>0</v>
      </c>
      <c r="P980" s="0" t="n">
        <f aca="false">IF(AND(Comments!B978='Policy card'!$C$3,Comments!N978="Closed"),1,0)</f>
        <v>0</v>
      </c>
      <c r="Q980" s="0" t="n">
        <f aca="false">Q979+P980</f>
        <v>7</v>
      </c>
    </row>
    <row r="981" customFormat="false" ht="15" hidden="false" customHeight="false" outlineLevel="0" collapsed="false">
      <c r="C981" s="0" t="n">
        <f aca="false">IF(AND(Comments!B979='Policy card'!$C$3,Comments!N979="Open"),1,0)</f>
        <v>0</v>
      </c>
      <c r="D981" s="0" t="str">
        <f aca="false">IF(C981=1,E981,IF(P981=1,$E$2003+Q981,""))</f>
        <v/>
      </c>
      <c r="E981" s="0" t="n">
        <f aca="false">E980+C981</f>
        <v>0</v>
      </c>
      <c r="P981" s="0" t="n">
        <f aca="false">IF(AND(Comments!B979='Policy card'!$C$3,Comments!N979="Closed"),1,0)</f>
        <v>0</v>
      </c>
      <c r="Q981" s="0" t="n">
        <f aca="false">Q980+P981</f>
        <v>7</v>
      </c>
    </row>
    <row r="982" customFormat="false" ht="15" hidden="false" customHeight="false" outlineLevel="0" collapsed="false">
      <c r="C982" s="0" t="n">
        <f aca="false">IF(AND(Comments!B980='Policy card'!$C$3,Comments!N980="Open"),1,0)</f>
        <v>0</v>
      </c>
      <c r="D982" s="0" t="str">
        <f aca="false">IF(C982=1,E982,IF(P982=1,$E$2003+Q982,""))</f>
        <v/>
      </c>
      <c r="E982" s="0" t="n">
        <f aca="false">E981+C982</f>
        <v>0</v>
      </c>
      <c r="P982" s="0" t="n">
        <f aca="false">IF(AND(Comments!B980='Policy card'!$C$3,Comments!N980="Closed"),1,0)</f>
        <v>0</v>
      </c>
      <c r="Q982" s="0" t="n">
        <f aca="false">Q981+P982</f>
        <v>7</v>
      </c>
    </row>
    <row r="983" customFormat="false" ht="15" hidden="false" customHeight="false" outlineLevel="0" collapsed="false">
      <c r="C983" s="0" t="n">
        <f aca="false">IF(AND(Comments!B981='Policy card'!$C$3,Comments!N981="Open"),1,0)</f>
        <v>0</v>
      </c>
      <c r="D983" s="0" t="str">
        <f aca="false">IF(C983=1,E983,IF(P983=1,$E$2003+Q983,""))</f>
        <v/>
      </c>
      <c r="E983" s="0" t="n">
        <f aca="false">E982+C983</f>
        <v>0</v>
      </c>
      <c r="P983" s="0" t="n">
        <f aca="false">IF(AND(Comments!B981='Policy card'!$C$3,Comments!N981="Closed"),1,0)</f>
        <v>0</v>
      </c>
      <c r="Q983" s="0" t="n">
        <f aca="false">Q982+P983</f>
        <v>7</v>
      </c>
    </row>
    <row r="984" customFormat="false" ht="15" hidden="false" customHeight="false" outlineLevel="0" collapsed="false">
      <c r="C984" s="0" t="n">
        <f aca="false">IF(AND(Comments!B982='Policy card'!$C$3,Comments!N982="Open"),1,0)</f>
        <v>0</v>
      </c>
      <c r="D984" s="0" t="str">
        <f aca="false">IF(C984=1,E984,IF(P984=1,$E$2003+Q984,""))</f>
        <v/>
      </c>
      <c r="E984" s="0" t="n">
        <f aca="false">E983+C984</f>
        <v>0</v>
      </c>
      <c r="P984" s="0" t="n">
        <f aca="false">IF(AND(Comments!B982='Policy card'!$C$3,Comments!N982="Closed"),1,0)</f>
        <v>0</v>
      </c>
      <c r="Q984" s="0" t="n">
        <f aca="false">Q983+P984</f>
        <v>7</v>
      </c>
    </row>
    <row r="985" customFormat="false" ht="15" hidden="false" customHeight="false" outlineLevel="0" collapsed="false">
      <c r="C985" s="0" t="n">
        <f aca="false">IF(AND(Comments!B983='Policy card'!$C$3,Comments!N983="Open"),1,0)</f>
        <v>0</v>
      </c>
      <c r="D985" s="0" t="str">
        <f aca="false">IF(C985=1,E985,IF(P985=1,$E$2003+Q985,""))</f>
        <v/>
      </c>
      <c r="E985" s="0" t="n">
        <f aca="false">E984+C985</f>
        <v>0</v>
      </c>
      <c r="P985" s="0" t="n">
        <f aca="false">IF(AND(Comments!B983='Policy card'!$C$3,Comments!N983="Closed"),1,0)</f>
        <v>0</v>
      </c>
      <c r="Q985" s="0" t="n">
        <f aca="false">Q984+P985</f>
        <v>7</v>
      </c>
    </row>
    <row r="986" customFormat="false" ht="15" hidden="false" customHeight="false" outlineLevel="0" collapsed="false">
      <c r="C986" s="0" t="n">
        <f aca="false">IF(AND(Comments!B984='Policy card'!$C$3,Comments!N984="Open"),1,0)</f>
        <v>0</v>
      </c>
      <c r="D986" s="0" t="str">
        <f aca="false">IF(C986=1,E986,IF(P986=1,$E$2003+Q986,""))</f>
        <v/>
      </c>
      <c r="E986" s="0" t="n">
        <f aca="false">E985+C986</f>
        <v>0</v>
      </c>
      <c r="P986" s="0" t="n">
        <f aca="false">IF(AND(Comments!B984='Policy card'!$C$3,Comments!N984="Closed"),1,0)</f>
        <v>0</v>
      </c>
      <c r="Q986" s="0" t="n">
        <f aca="false">Q985+P986</f>
        <v>7</v>
      </c>
    </row>
    <row r="987" customFormat="false" ht="15" hidden="false" customHeight="false" outlineLevel="0" collapsed="false">
      <c r="C987" s="0" t="n">
        <f aca="false">IF(AND(Comments!B985='Policy card'!$C$3,Comments!N985="Open"),1,0)</f>
        <v>0</v>
      </c>
      <c r="D987" s="0" t="str">
        <f aca="false">IF(C987=1,E987,IF(P987=1,$E$2003+Q987,""))</f>
        <v/>
      </c>
      <c r="E987" s="0" t="n">
        <f aca="false">E986+C987</f>
        <v>0</v>
      </c>
      <c r="P987" s="0" t="n">
        <f aca="false">IF(AND(Comments!B985='Policy card'!$C$3,Comments!N985="Closed"),1,0)</f>
        <v>0</v>
      </c>
      <c r="Q987" s="0" t="n">
        <f aca="false">Q986+P987</f>
        <v>7</v>
      </c>
    </row>
    <row r="988" customFormat="false" ht="15" hidden="false" customHeight="false" outlineLevel="0" collapsed="false">
      <c r="C988" s="0" t="n">
        <f aca="false">IF(AND(Comments!B986='Policy card'!$C$3,Comments!N986="Open"),1,0)</f>
        <v>0</v>
      </c>
      <c r="D988" s="0" t="str">
        <f aca="false">IF(C988=1,E988,IF(P988=1,$E$2003+Q988,""))</f>
        <v/>
      </c>
      <c r="E988" s="0" t="n">
        <f aca="false">E987+C988</f>
        <v>0</v>
      </c>
      <c r="P988" s="0" t="n">
        <f aca="false">IF(AND(Comments!B986='Policy card'!$C$3,Comments!N986="Closed"),1,0)</f>
        <v>0</v>
      </c>
      <c r="Q988" s="0" t="n">
        <f aca="false">Q987+P988</f>
        <v>7</v>
      </c>
    </row>
    <row r="989" customFormat="false" ht="15" hidden="false" customHeight="false" outlineLevel="0" collapsed="false">
      <c r="C989" s="0" t="n">
        <f aca="false">IF(AND(Comments!B987='Policy card'!$C$3,Comments!N987="Open"),1,0)</f>
        <v>0</v>
      </c>
      <c r="D989" s="0" t="str">
        <f aca="false">IF(C989=1,E989,IF(P989=1,$E$2003+Q989,""))</f>
        <v/>
      </c>
      <c r="E989" s="0" t="n">
        <f aca="false">E988+C989</f>
        <v>0</v>
      </c>
      <c r="P989" s="0" t="n">
        <f aca="false">IF(AND(Comments!B987='Policy card'!$C$3,Comments!N987="Closed"),1,0)</f>
        <v>0</v>
      </c>
      <c r="Q989" s="0" t="n">
        <f aca="false">Q988+P989</f>
        <v>7</v>
      </c>
    </row>
    <row r="990" customFormat="false" ht="15" hidden="false" customHeight="false" outlineLevel="0" collapsed="false">
      <c r="C990" s="0" t="n">
        <f aca="false">IF(AND(Comments!B988='Policy card'!$C$3,Comments!N988="Open"),1,0)</f>
        <v>0</v>
      </c>
      <c r="D990" s="0" t="str">
        <f aca="false">IF(C990=1,E990,IF(P990=1,$E$2003+Q990,""))</f>
        <v/>
      </c>
      <c r="E990" s="0" t="n">
        <f aca="false">E989+C990</f>
        <v>0</v>
      </c>
      <c r="P990" s="0" t="n">
        <f aca="false">IF(AND(Comments!B988='Policy card'!$C$3,Comments!N988="Closed"),1,0)</f>
        <v>0</v>
      </c>
      <c r="Q990" s="0" t="n">
        <f aca="false">Q989+P990</f>
        <v>7</v>
      </c>
    </row>
    <row r="991" customFormat="false" ht="15" hidden="false" customHeight="false" outlineLevel="0" collapsed="false">
      <c r="C991" s="0" t="n">
        <f aca="false">IF(AND(Comments!B989='Policy card'!$C$3,Comments!N989="Open"),1,0)</f>
        <v>0</v>
      </c>
      <c r="D991" s="0" t="str">
        <f aca="false">IF(C991=1,E991,IF(P991=1,$E$2003+Q991,""))</f>
        <v/>
      </c>
      <c r="E991" s="0" t="n">
        <f aca="false">E990+C991</f>
        <v>0</v>
      </c>
      <c r="P991" s="0" t="n">
        <f aca="false">IF(AND(Comments!B989='Policy card'!$C$3,Comments!N989="Closed"),1,0)</f>
        <v>0</v>
      </c>
      <c r="Q991" s="0" t="n">
        <f aca="false">Q990+P991</f>
        <v>7</v>
      </c>
    </row>
    <row r="992" customFormat="false" ht="15" hidden="false" customHeight="false" outlineLevel="0" collapsed="false">
      <c r="C992" s="0" t="n">
        <f aca="false">IF(AND(Comments!B990='Policy card'!$C$3,Comments!N990="Open"),1,0)</f>
        <v>0</v>
      </c>
      <c r="D992" s="0" t="str">
        <f aca="false">IF(C992=1,E992,IF(P992=1,$E$2003+Q992,""))</f>
        <v/>
      </c>
      <c r="E992" s="0" t="n">
        <f aca="false">E991+C992</f>
        <v>0</v>
      </c>
      <c r="P992" s="0" t="n">
        <f aca="false">IF(AND(Comments!B990='Policy card'!$C$3,Comments!N990="Closed"),1,0)</f>
        <v>0</v>
      </c>
      <c r="Q992" s="0" t="n">
        <f aca="false">Q991+P992</f>
        <v>7</v>
      </c>
    </row>
    <row r="993" customFormat="false" ht="15" hidden="false" customHeight="false" outlineLevel="0" collapsed="false">
      <c r="C993" s="0" t="n">
        <f aca="false">IF(AND(Comments!B991='Policy card'!$C$3,Comments!N991="Open"),1,0)</f>
        <v>0</v>
      </c>
      <c r="D993" s="0" t="str">
        <f aca="false">IF(C993=1,E993,IF(P993=1,$E$2003+Q993,""))</f>
        <v/>
      </c>
      <c r="E993" s="0" t="n">
        <f aca="false">E992+C993</f>
        <v>0</v>
      </c>
      <c r="P993" s="0" t="n">
        <f aca="false">IF(AND(Comments!B991='Policy card'!$C$3,Comments!N991="Closed"),1,0)</f>
        <v>0</v>
      </c>
      <c r="Q993" s="0" t="n">
        <f aca="false">Q992+P993</f>
        <v>7</v>
      </c>
    </row>
    <row r="994" customFormat="false" ht="15" hidden="false" customHeight="false" outlineLevel="0" collapsed="false">
      <c r="C994" s="0" t="n">
        <f aca="false">IF(AND(Comments!B992='Policy card'!$C$3,Comments!N992="Open"),1,0)</f>
        <v>0</v>
      </c>
      <c r="D994" s="0" t="str">
        <f aca="false">IF(C994=1,E994,IF(P994=1,$E$2003+Q994,""))</f>
        <v/>
      </c>
      <c r="E994" s="0" t="n">
        <f aca="false">E993+C994</f>
        <v>0</v>
      </c>
      <c r="P994" s="0" t="n">
        <f aca="false">IF(AND(Comments!B992='Policy card'!$C$3,Comments!N992="Closed"),1,0)</f>
        <v>0</v>
      </c>
      <c r="Q994" s="0" t="n">
        <f aca="false">Q993+P994</f>
        <v>7</v>
      </c>
    </row>
    <row r="995" customFormat="false" ht="15" hidden="false" customHeight="false" outlineLevel="0" collapsed="false">
      <c r="C995" s="0" t="n">
        <f aca="false">IF(AND(Comments!B993='Policy card'!$C$3,Comments!N993="Open"),1,0)</f>
        <v>0</v>
      </c>
      <c r="D995" s="0" t="str">
        <f aca="false">IF(C995=1,E995,IF(P995=1,$E$2003+Q995,""))</f>
        <v/>
      </c>
      <c r="E995" s="0" t="n">
        <f aca="false">E994+C995</f>
        <v>0</v>
      </c>
      <c r="P995" s="0" t="n">
        <f aca="false">IF(AND(Comments!B993='Policy card'!$C$3,Comments!N993="Closed"),1,0)</f>
        <v>0</v>
      </c>
      <c r="Q995" s="0" t="n">
        <f aca="false">Q994+P995</f>
        <v>7</v>
      </c>
    </row>
    <row r="996" customFormat="false" ht="15" hidden="false" customHeight="false" outlineLevel="0" collapsed="false">
      <c r="C996" s="0" t="n">
        <f aca="false">IF(AND(Comments!B994='Policy card'!$C$3,Comments!N994="Open"),1,0)</f>
        <v>0</v>
      </c>
      <c r="D996" s="0" t="str">
        <f aca="false">IF(C996=1,E996,IF(P996=1,$E$2003+Q996,""))</f>
        <v/>
      </c>
      <c r="E996" s="0" t="n">
        <f aca="false">E995+C996</f>
        <v>0</v>
      </c>
      <c r="P996" s="0" t="n">
        <f aca="false">IF(AND(Comments!B994='Policy card'!$C$3,Comments!N994="Closed"),1,0)</f>
        <v>0</v>
      </c>
      <c r="Q996" s="0" t="n">
        <f aca="false">Q995+P996</f>
        <v>7</v>
      </c>
    </row>
    <row r="997" customFormat="false" ht="15" hidden="false" customHeight="false" outlineLevel="0" collapsed="false">
      <c r="C997" s="0" t="n">
        <f aca="false">IF(AND(Comments!B995='Policy card'!$C$3,Comments!N995="Open"),1,0)</f>
        <v>0</v>
      </c>
      <c r="D997" s="0" t="str">
        <f aca="false">IF(C997=1,E997,IF(P997=1,$E$2003+Q997,""))</f>
        <v/>
      </c>
      <c r="E997" s="0" t="n">
        <f aca="false">E996+C997</f>
        <v>0</v>
      </c>
      <c r="P997" s="0" t="n">
        <f aca="false">IF(AND(Comments!B995='Policy card'!$C$3,Comments!N995="Closed"),1,0)</f>
        <v>0</v>
      </c>
      <c r="Q997" s="0" t="n">
        <f aca="false">Q996+P997</f>
        <v>7</v>
      </c>
    </row>
    <row r="998" customFormat="false" ht="15" hidden="false" customHeight="false" outlineLevel="0" collapsed="false">
      <c r="C998" s="0" t="n">
        <f aca="false">IF(AND(Comments!B996='Policy card'!$C$3,Comments!N996="Open"),1,0)</f>
        <v>0</v>
      </c>
      <c r="D998" s="0" t="str">
        <f aca="false">IF(C998=1,E998,IF(P998=1,$E$2003+Q998,""))</f>
        <v/>
      </c>
      <c r="E998" s="0" t="n">
        <f aca="false">E997+C998</f>
        <v>0</v>
      </c>
      <c r="P998" s="0" t="n">
        <f aca="false">IF(AND(Comments!B996='Policy card'!$C$3,Comments!N996="Closed"),1,0)</f>
        <v>0</v>
      </c>
      <c r="Q998" s="0" t="n">
        <f aca="false">Q997+P998</f>
        <v>7</v>
      </c>
    </row>
    <row r="999" customFormat="false" ht="15" hidden="false" customHeight="false" outlineLevel="0" collapsed="false">
      <c r="C999" s="0" t="n">
        <f aca="false">IF(AND(Comments!B997='Policy card'!$C$3,Comments!N997="Open"),1,0)</f>
        <v>0</v>
      </c>
      <c r="D999" s="0" t="str">
        <f aca="false">IF(C999=1,E999,IF(P999=1,$E$2003+Q999,""))</f>
        <v/>
      </c>
      <c r="E999" s="0" t="n">
        <f aca="false">E998+C999</f>
        <v>0</v>
      </c>
      <c r="P999" s="0" t="n">
        <f aca="false">IF(AND(Comments!B997='Policy card'!$C$3,Comments!N997="Closed"),1,0)</f>
        <v>0</v>
      </c>
      <c r="Q999" s="0" t="n">
        <f aca="false">Q998+P999</f>
        <v>7</v>
      </c>
    </row>
    <row r="1000" customFormat="false" ht="15" hidden="false" customHeight="false" outlineLevel="0" collapsed="false">
      <c r="C1000" s="0" t="n">
        <f aca="false">IF(AND(Comments!B998='Policy card'!$C$3,Comments!N998="Open"),1,0)</f>
        <v>0</v>
      </c>
      <c r="D1000" s="0" t="str">
        <f aca="false">IF(C1000=1,E1000,IF(P1000=1,$E$2003+Q1000,""))</f>
        <v/>
      </c>
      <c r="E1000" s="0" t="n">
        <f aca="false">E999+C1000</f>
        <v>0</v>
      </c>
      <c r="P1000" s="0" t="n">
        <f aca="false">IF(AND(Comments!B998='Policy card'!$C$3,Comments!N998="Closed"),1,0)</f>
        <v>0</v>
      </c>
      <c r="Q1000" s="0" t="n">
        <f aca="false">Q999+P1000</f>
        <v>7</v>
      </c>
    </row>
    <row r="1001" customFormat="false" ht="15" hidden="false" customHeight="false" outlineLevel="0" collapsed="false">
      <c r="C1001" s="0" t="n">
        <f aca="false">IF(AND(Comments!B999='Policy card'!$C$3,Comments!N999="Open"),1,0)</f>
        <v>0</v>
      </c>
      <c r="D1001" s="0" t="str">
        <f aca="false">IF(C1001=1,E1001,IF(P1001=1,$E$2003+Q1001,""))</f>
        <v/>
      </c>
      <c r="E1001" s="0" t="n">
        <f aca="false">E1000+C1001</f>
        <v>0</v>
      </c>
      <c r="P1001" s="0" t="n">
        <f aca="false">IF(AND(Comments!B999='Policy card'!$C$3,Comments!N999="Closed"),1,0)</f>
        <v>0</v>
      </c>
      <c r="Q1001" s="0" t="n">
        <f aca="false">Q1000+P1001</f>
        <v>7</v>
      </c>
    </row>
    <row r="1002" customFormat="false" ht="15" hidden="false" customHeight="false" outlineLevel="0" collapsed="false">
      <c r="C1002" s="0" t="n">
        <f aca="false">IF(AND(Comments!B1000='Policy card'!$C$3,Comments!N1000="Open"),1,0)</f>
        <v>0</v>
      </c>
      <c r="D1002" s="0" t="str">
        <f aca="false">IF(C1002=1,E1002,IF(P1002=1,$E$2003+Q1002,""))</f>
        <v/>
      </c>
      <c r="E1002" s="0" t="n">
        <f aca="false">E1001+C1002</f>
        <v>0</v>
      </c>
      <c r="P1002" s="0" t="n">
        <f aca="false">IF(AND(Comments!B1000='Policy card'!$C$3,Comments!N1000="Closed"),1,0)</f>
        <v>0</v>
      </c>
      <c r="Q1002" s="0" t="n">
        <f aca="false">Q1001+P1002</f>
        <v>7</v>
      </c>
    </row>
    <row r="1003" customFormat="false" ht="15" hidden="false" customHeight="false" outlineLevel="0" collapsed="false">
      <c r="C1003" s="0" t="n">
        <f aca="false">IF(AND(Comments!B1001='Policy card'!$C$3,Comments!N1001="Open"),1,0)</f>
        <v>0</v>
      </c>
      <c r="D1003" s="0" t="str">
        <f aca="false">IF(C1003=1,E1003,IF(P1003=1,$E$2003+Q1003,""))</f>
        <v/>
      </c>
      <c r="E1003" s="0" t="n">
        <f aca="false">E1002+C1003</f>
        <v>0</v>
      </c>
      <c r="P1003" s="0" t="n">
        <f aca="false">IF(AND(Comments!B1001='Policy card'!$C$3,Comments!N1001="Closed"),1,0)</f>
        <v>0</v>
      </c>
      <c r="Q1003" s="0" t="n">
        <f aca="false">Q1002+P1003</f>
        <v>7</v>
      </c>
    </row>
    <row r="1004" customFormat="false" ht="15" hidden="false" customHeight="false" outlineLevel="0" collapsed="false">
      <c r="C1004" s="0" t="n">
        <f aca="false">IF(AND(Comments!B1002='Policy card'!$C$3,Comments!N1002="Open"),1,0)</f>
        <v>0</v>
      </c>
      <c r="D1004" s="0" t="str">
        <f aca="false">IF(C1004=1,E1004,IF(P1004=1,$E$2003+Q1004,""))</f>
        <v/>
      </c>
      <c r="E1004" s="0" t="n">
        <f aca="false">E1003+C1004</f>
        <v>0</v>
      </c>
      <c r="P1004" s="0" t="n">
        <f aca="false">IF(AND(Comments!B1002='Policy card'!$C$3,Comments!N1002="Closed"),1,0)</f>
        <v>0</v>
      </c>
      <c r="Q1004" s="0" t="n">
        <f aca="false">Q1003+P1004</f>
        <v>7</v>
      </c>
    </row>
    <row r="1005" customFormat="false" ht="15" hidden="false" customHeight="false" outlineLevel="0" collapsed="false">
      <c r="C1005" s="0" t="n">
        <f aca="false">IF(AND(Comments!B1003='Policy card'!$C$3,Comments!N1003="Open"),1,0)</f>
        <v>0</v>
      </c>
      <c r="D1005" s="0" t="str">
        <f aca="false">IF(C1005=1,E1005,IF(P1005=1,$E$2003+Q1005,""))</f>
        <v/>
      </c>
      <c r="E1005" s="0" t="n">
        <f aca="false">E1004+C1005</f>
        <v>0</v>
      </c>
      <c r="P1005" s="0" t="n">
        <f aca="false">IF(AND(Comments!B1003='Policy card'!$C$3,Comments!N1003="Closed"),1,0)</f>
        <v>0</v>
      </c>
      <c r="Q1005" s="0" t="n">
        <f aca="false">Q1004+P1005</f>
        <v>7</v>
      </c>
    </row>
    <row r="1006" customFormat="false" ht="15" hidden="false" customHeight="false" outlineLevel="0" collapsed="false">
      <c r="C1006" s="0" t="n">
        <f aca="false">IF(AND(Comments!B1004='Policy card'!$C$3,Comments!N1004="Open"),1,0)</f>
        <v>0</v>
      </c>
      <c r="D1006" s="0" t="str">
        <f aca="false">IF(C1006=1,E1006,IF(P1006=1,$E$2003+Q1006,""))</f>
        <v/>
      </c>
      <c r="E1006" s="0" t="n">
        <f aca="false">E1005+C1006</f>
        <v>0</v>
      </c>
      <c r="P1006" s="0" t="n">
        <f aca="false">IF(AND(Comments!B1004='Policy card'!$C$3,Comments!N1004="Closed"),1,0)</f>
        <v>0</v>
      </c>
      <c r="Q1006" s="0" t="n">
        <f aca="false">Q1005+P1006</f>
        <v>7</v>
      </c>
    </row>
    <row r="1007" customFormat="false" ht="15" hidden="false" customHeight="false" outlineLevel="0" collapsed="false">
      <c r="C1007" s="0" t="n">
        <f aca="false">IF(AND(Comments!B1005='Policy card'!$C$3,Comments!N1005="Open"),1,0)</f>
        <v>0</v>
      </c>
      <c r="D1007" s="0" t="str">
        <f aca="false">IF(C1007=1,E1007,IF(P1007=1,$E$2003+Q1007,""))</f>
        <v/>
      </c>
      <c r="E1007" s="0" t="n">
        <f aca="false">E1006+C1007</f>
        <v>0</v>
      </c>
      <c r="P1007" s="0" t="n">
        <f aca="false">IF(AND(Comments!B1005='Policy card'!$C$3,Comments!N1005="Closed"),1,0)</f>
        <v>0</v>
      </c>
      <c r="Q1007" s="0" t="n">
        <f aca="false">Q1006+P1007</f>
        <v>7</v>
      </c>
    </row>
    <row r="1008" customFormat="false" ht="15" hidden="false" customHeight="false" outlineLevel="0" collapsed="false">
      <c r="C1008" s="0" t="n">
        <f aca="false">IF(AND(Comments!B1006='Policy card'!$C$3,Comments!N1006="Open"),1,0)</f>
        <v>0</v>
      </c>
      <c r="D1008" s="0" t="str">
        <f aca="false">IF(C1008=1,E1008,IF(P1008=1,$E$2003+Q1008,""))</f>
        <v/>
      </c>
      <c r="E1008" s="0" t="n">
        <f aca="false">E1007+C1008</f>
        <v>0</v>
      </c>
      <c r="P1008" s="0" t="n">
        <f aca="false">IF(AND(Comments!B1006='Policy card'!$C$3,Comments!N1006="Closed"),1,0)</f>
        <v>0</v>
      </c>
      <c r="Q1008" s="0" t="n">
        <f aca="false">Q1007+P1008</f>
        <v>7</v>
      </c>
    </row>
    <row r="1009" customFormat="false" ht="15" hidden="false" customHeight="false" outlineLevel="0" collapsed="false">
      <c r="C1009" s="0" t="n">
        <f aca="false">IF(AND(Comments!B1007='Policy card'!$C$3,Comments!N1007="Open"),1,0)</f>
        <v>0</v>
      </c>
      <c r="D1009" s="0" t="str">
        <f aca="false">IF(C1009=1,E1009,IF(P1009=1,$E$2003+Q1009,""))</f>
        <v/>
      </c>
      <c r="E1009" s="0" t="n">
        <f aca="false">E1008+C1009</f>
        <v>0</v>
      </c>
      <c r="P1009" s="0" t="n">
        <f aca="false">IF(AND(Comments!B1007='Policy card'!$C$3,Comments!N1007="Closed"),1,0)</f>
        <v>0</v>
      </c>
      <c r="Q1009" s="0" t="n">
        <f aca="false">Q1008+P1009</f>
        <v>7</v>
      </c>
    </row>
    <row r="1010" customFormat="false" ht="15" hidden="false" customHeight="false" outlineLevel="0" collapsed="false">
      <c r="C1010" s="0" t="n">
        <f aca="false">IF(AND(Comments!B1008='Policy card'!$C$3,Comments!N1008="Open"),1,0)</f>
        <v>0</v>
      </c>
      <c r="D1010" s="0" t="str">
        <f aca="false">IF(C1010=1,E1010,IF(P1010=1,$E$2003+Q1010,""))</f>
        <v/>
      </c>
      <c r="E1010" s="0" t="n">
        <f aca="false">E1009+C1010</f>
        <v>0</v>
      </c>
      <c r="P1010" s="0" t="n">
        <f aca="false">IF(AND(Comments!B1008='Policy card'!$C$3,Comments!N1008="Closed"),1,0)</f>
        <v>0</v>
      </c>
      <c r="Q1010" s="0" t="n">
        <f aca="false">Q1009+P1010</f>
        <v>7</v>
      </c>
    </row>
    <row r="1011" customFormat="false" ht="15" hidden="false" customHeight="false" outlineLevel="0" collapsed="false">
      <c r="C1011" s="0" t="n">
        <f aca="false">IF(AND(Comments!B1009='Policy card'!$C$3,Comments!N1009="Open"),1,0)</f>
        <v>0</v>
      </c>
      <c r="D1011" s="0" t="str">
        <f aca="false">IF(C1011=1,E1011,IF(P1011=1,$E$2003+Q1011,""))</f>
        <v/>
      </c>
      <c r="E1011" s="0" t="n">
        <f aca="false">E1010+C1011</f>
        <v>0</v>
      </c>
      <c r="P1011" s="0" t="n">
        <f aca="false">IF(AND(Comments!B1009='Policy card'!$C$3,Comments!N1009="Closed"),1,0)</f>
        <v>0</v>
      </c>
      <c r="Q1011" s="0" t="n">
        <f aca="false">Q1010+P1011</f>
        <v>7</v>
      </c>
    </row>
    <row r="1012" customFormat="false" ht="15" hidden="false" customHeight="false" outlineLevel="0" collapsed="false">
      <c r="C1012" s="0" t="n">
        <f aca="false">IF(AND(Comments!B1010='Policy card'!$C$3,Comments!N1010="Open"),1,0)</f>
        <v>0</v>
      </c>
      <c r="D1012" s="0" t="str">
        <f aca="false">IF(C1012=1,E1012,IF(P1012=1,$E$2003+Q1012,""))</f>
        <v/>
      </c>
      <c r="E1012" s="0" t="n">
        <f aca="false">E1011+C1012</f>
        <v>0</v>
      </c>
      <c r="P1012" s="0" t="n">
        <f aca="false">IF(AND(Comments!B1010='Policy card'!$C$3,Comments!N1010="Closed"),1,0)</f>
        <v>0</v>
      </c>
      <c r="Q1012" s="0" t="n">
        <f aca="false">Q1011+P1012</f>
        <v>7</v>
      </c>
    </row>
    <row r="1013" customFormat="false" ht="15" hidden="false" customHeight="false" outlineLevel="0" collapsed="false">
      <c r="C1013" s="0" t="n">
        <f aca="false">IF(AND(Comments!B1011='Policy card'!$C$3,Comments!N1011="Open"),1,0)</f>
        <v>0</v>
      </c>
      <c r="D1013" s="0" t="str">
        <f aca="false">IF(C1013=1,E1013,IF(P1013=1,$E$2003+Q1013,""))</f>
        <v/>
      </c>
      <c r="E1013" s="0" t="n">
        <f aca="false">E1012+C1013</f>
        <v>0</v>
      </c>
      <c r="P1013" s="0" t="n">
        <f aca="false">IF(AND(Comments!B1011='Policy card'!$C$3,Comments!N1011="Closed"),1,0)</f>
        <v>0</v>
      </c>
      <c r="Q1013" s="0" t="n">
        <f aca="false">Q1012+P1013</f>
        <v>7</v>
      </c>
    </row>
    <row r="1014" customFormat="false" ht="15" hidden="false" customHeight="false" outlineLevel="0" collapsed="false">
      <c r="C1014" s="0" t="n">
        <f aca="false">IF(AND(Comments!B1012='Policy card'!$C$3,Comments!N1012="Open"),1,0)</f>
        <v>0</v>
      </c>
      <c r="D1014" s="0" t="str">
        <f aca="false">IF(C1014=1,E1014,IF(P1014=1,$E$2003+Q1014,""))</f>
        <v/>
      </c>
      <c r="E1014" s="0" t="n">
        <f aca="false">E1013+C1014</f>
        <v>0</v>
      </c>
      <c r="P1014" s="0" t="n">
        <f aca="false">IF(AND(Comments!B1012='Policy card'!$C$3,Comments!N1012="Closed"),1,0)</f>
        <v>0</v>
      </c>
      <c r="Q1014" s="0" t="n">
        <f aca="false">Q1013+P1014</f>
        <v>7</v>
      </c>
    </row>
    <row r="1015" customFormat="false" ht="15" hidden="false" customHeight="false" outlineLevel="0" collapsed="false">
      <c r="C1015" s="0" t="n">
        <f aca="false">IF(AND(Comments!B1013='Policy card'!$C$3,Comments!N1013="Open"),1,0)</f>
        <v>0</v>
      </c>
      <c r="D1015" s="0" t="str">
        <f aca="false">IF(C1015=1,E1015,IF(P1015=1,$E$2003+Q1015,""))</f>
        <v/>
      </c>
      <c r="E1015" s="0" t="n">
        <f aca="false">E1014+C1015</f>
        <v>0</v>
      </c>
      <c r="P1015" s="0" t="n">
        <f aca="false">IF(AND(Comments!B1013='Policy card'!$C$3,Comments!N1013="Closed"),1,0)</f>
        <v>0</v>
      </c>
      <c r="Q1015" s="0" t="n">
        <f aca="false">Q1014+P1015</f>
        <v>7</v>
      </c>
    </row>
    <row r="1016" customFormat="false" ht="15" hidden="false" customHeight="false" outlineLevel="0" collapsed="false">
      <c r="C1016" s="0" t="n">
        <f aca="false">IF(AND(Comments!B1014='Policy card'!$C$3,Comments!N1014="Open"),1,0)</f>
        <v>0</v>
      </c>
      <c r="D1016" s="0" t="str">
        <f aca="false">IF(C1016=1,E1016,IF(P1016=1,$E$2003+Q1016,""))</f>
        <v/>
      </c>
      <c r="E1016" s="0" t="n">
        <f aca="false">E1015+C1016</f>
        <v>0</v>
      </c>
      <c r="P1016" s="0" t="n">
        <f aca="false">IF(AND(Comments!B1014='Policy card'!$C$3,Comments!N1014="Closed"),1,0)</f>
        <v>0</v>
      </c>
      <c r="Q1016" s="0" t="n">
        <f aca="false">Q1015+P1016</f>
        <v>7</v>
      </c>
    </row>
    <row r="1017" customFormat="false" ht="15" hidden="false" customHeight="false" outlineLevel="0" collapsed="false">
      <c r="C1017" s="0" t="n">
        <f aca="false">IF(AND(Comments!B1015='Policy card'!$C$3,Comments!N1015="Open"),1,0)</f>
        <v>0</v>
      </c>
      <c r="D1017" s="0" t="str">
        <f aca="false">IF(C1017=1,E1017,IF(P1017=1,$E$2003+Q1017,""))</f>
        <v/>
      </c>
      <c r="E1017" s="0" t="n">
        <f aca="false">E1016+C1017</f>
        <v>0</v>
      </c>
      <c r="P1017" s="0" t="n">
        <f aca="false">IF(AND(Comments!B1015='Policy card'!$C$3,Comments!N1015="Closed"),1,0)</f>
        <v>0</v>
      </c>
      <c r="Q1017" s="0" t="n">
        <f aca="false">Q1016+P1017</f>
        <v>7</v>
      </c>
    </row>
    <row r="1018" customFormat="false" ht="15" hidden="false" customHeight="false" outlineLevel="0" collapsed="false">
      <c r="C1018" s="0" t="n">
        <f aca="false">IF(AND(Comments!B1016='Policy card'!$C$3,Comments!N1016="Open"),1,0)</f>
        <v>0</v>
      </c>
      <c r="D1018" s="0" t="str">
        <f aca="false">IF(C1018=1,E1018,IF(P1018=1,$E$2003+Q1018,""))</f>
        <v/>
      </c>
      <c r="E1018" s="0" t="n">
        <f aca="false">E1017+C1018</f>
        <v>0</v>
      </c>
      <c r="P1018" s="0" t="n">
        <f aca="false">IF(AND(Comments!B1016='Policy card'!$C$3,Comments!N1016="Closed"),1,0)</f>
        <v>0</v>
      </c>
      <c r="Q1018" s="0" t="n">
        <f aca="false">Q1017+P1018</f>
        <v>7</v>
      </c>
    </row>
    <row r="1019" customFormat="false" ht="15" hidden="false" customHeight="false" outlineLevel="0" collapsed="false">
      <c r="C1019" s="0" t="n">
        <f aca="false">IF(AND(Comments!B1017='Policy card'!$C$3,Comments!N1017="Open"),1,0)</f>
        <v>0</v>
      </c>
      <c r="D1019" s="0" t="str">
        <f aca="false">IF(C1019=1,E1019,IF(P1019=1,$E$2003+Q1019,""))</f>
        <v/>
      </c>
      <c r="E1019" s="0" t="n">
        <f aca="false">E1018+C1019</f>
        <v>0</v>
      </c>
      <c r="P1019" s="0" t="n">
        <f aca="false">IF(AND(Comments!B1017='Policy card'!$C$3,Comments!N1017="Closed"),1,0)</f>
        <v>0</v>
      </c>
      <c r="Q1019" s="0" t="n">
        <f aca="false">Q1018+P1019</f>
        <v>7</v>
      </c>
    </row>
    <row r="1020" customFormat="false" ht="15" hidden="false" customHeight="false" outlineLevel="0" collapsed="false">
      <c r="C1020" s="0" t="n">
        <f aca="false">IF(AND(Comments!B1018='Policy card'!$C$3,Comments!N1018="Open"),1,0)</f>
        <v>0</v>
      </c>
      <c r="D1020" s="0" t="str">
        <f aca="false">IF(C1020=1,E1020,IF(P1020=1,$E$2003+Q1020,""))</f>
        <v/>
      </c>
      <c r="E1020" s="0" t="n">
        <f aca="false">E1019+C1020</f>
        <v>0</v>
      </c>
      <c r="P1020" s="0" t="n">
        <f aca="false">IF(AND(Comments!B1018='Policy card'!$C$3,Comments!N1018="Closed"),1,0)</f>
        <v>0</v>
      </c>
      <c r="Q1020" s="0" t="n">
        <f aca="false">Q1019+P1020</f>
        <v>7</v>
      </c>
    </row>
    <row r="1021" customFormat="false" ht="15" hidden="false" customHeight="false" outlineLevel="0" collapsed="false">
      <c r="C1021" s="0" t="n">
        <f aca="false">IF(AND(Comments!B1019='Policy card'!$C$3,Comments!N1019="Open"),1,0)</f>
        <v>0</v>
      </c>
      <c r="D1021" s="0" t="str">
        <f aca="false">IF(C1021=1,E1021,IF(P1021=1,$E$2003+Q1021,""))</f>
        <v/>
      </c>
      <c r="E1021" s="0" t="n">
        <f aca="false">E1020+C1021</f>
        <v>0</v>
      </c>
      <c r="P1021" s="0" t="n">
        <f aca="false">IF(AND(Comments!B1019='Policy card'!$C$3,Comments!N1019="Closed"),1,0)</f>
        <v>0</v>
      </c>
      <c r="Q1021" s="0" t="n">
        <f aca="false">Q1020+P1021</f>
        <v>7</v>
      </c>
    </row>
    <row r="1022" customFormat="false" ht="15" hidden="false" customHeight="false" outlineLevel="0" collapsed="false">
      <c r="C1022" s="0" t="n">
        <f aca="false">IF(AND(Comments!B1020='Policy card'!$C$3,Comments!N1020="Open"),1,0)</f>
        <v>0</v>
      </c>
      <c r="D1022" s="0" t="str">
        <f aca="false">IF(C1022=1,E1022,IF(P1022=1,$E$2003+Q1022,""))</f>
        <v/>
      </c>
      <c r="E1022" s="0" t="n">
        <f aca="false">E1021+C1022</f>
        <v>0</v>
      </c>
      <c r="P1022" s="0" t="n">
        <f aca="false">IF(AND(Comments!B1020='Policy card'!$C$3,Comments!N1020="Closed"),1,0)</f>
        <v>0</v>
      </c>
      <c r="Q1022" s="0" t="n">
        <f aca="false">Q1021+P1022</f>
        <v>7</v>
      </c>
    </row>
    <row r="1023" customFormat="false" ht="15" hidden="false" customHeight="false" outlineLevel="0" collapsed="false">
      <c r="C1023" s="0" t="n">
        <f aca="false">IF(AND(Comments!B1021='Policy card'!$C$3,Comments!N1021="Open"),1,0)</f>
        <v>0</v>
      </c>
      <c r="D1023" s="0" t="str">
        <f aca="false">IF(C1023=1,E1023,IF(P1023=1,$E$2003+Q1023,""))</f>
        <v/>
      </c>
      <c r="E1023" s="0" t="n">
        <f aca="false">E1022+C1023</f>
        <v>0</v>
      </c>
      <c r="P1023" s="0" t="n">
        <f aca="false">IF(AND(Comments!B1021='Policy card'!$C$3,Comments!N1021="Closed"),1,0)</f>
        <v>0</v>
      </c>
      <c r="Q1023" s="0" t="n">
        <f aca="false">Q1022+P1023</f>
        <v>7</v>
      </c>
    </row>
    <row r="1024" customFormat="false" ht="15" hidden="false" customHeight="false" outlineLevel="0" collapsed="false">
      <c r="C1024" s="0" t="n">
        <f aca="false">IF(AND(Comments!B1022='Policy card'!$C$3,Comments!N1022="Open"),1,0)</f>
        <v>0</v>
      </c>
      <c r="D1024" s="0" t="str">
        <f aca="false">IF(C1024=1,E1024,IF(P1024=1,$E$2003+Q1024,""))</f>
        <v/>
      </c>
      <c r="E1024" s="0" t="n">
        <f aca="false">E1023+C1024</f>
        <v>0</v>
      </c>
      <c r="P1024" s="0" t="n">
        <f aca="false">IF(AND(Comments!B1022='Policy card'!$C$3,Comments!N1022="Closed"),1,0)</f>
        <v>0</v>
      </c>
      <c r="Q1024" s="0" t="n">
        <f aca="false">Q1023+P1024</f>
        <v>7</v>
      </c>
    </row>
    <row r="1025" customFormat="false" ht="15" hidden="false" customHeight="false" outlineLevel="0" collapsed="false">
      <c r="C1025" s="0" t="n">
        <f aca="false">IF(AND(Comments!B1023='Policy card'!$C$3,Comments!N1023="Open"),1,0)</f>
        <v>0</v>
      </c>
      <c r="D1025" s="0" t="str">
        <f aca="false">IF(C1025=1,E1025,IF(P1025=1,$E$2003+Q1025,""))</f>
        <v/>
      </c>
      <c r="E1025" s="0" t="n">
        <f aca="false">E1024+C1025</f>
        <v>0</v>
      </c>
      <c r="P1025" s="0" t="n">
        <f aca="false">IF(AND(Comments!B1023='Policy card'!$C$3,Comments!N1023="Closed"),1,0)</f>
        <v>0</v>
      </c>
      <c r="Q1025" s="0" t="n">
        <f aca="false">Q1024+P1025</f>
        <v>7</v>
      </c>
    </row>
    <row r="1026" customFormat="false" ht="15" hidden="false" customHeight="false" outlineLevel="0" collapsed="false">
      <c r="C1026" s="0" t="n">
        <f aca="false">IF(AND(Comments!B1024='Policy card'!$C$3,Comments!N1024="Open"),1,0)</f>
        <v>0</v>
      </c>
      <c r="D1026" s="0" t="str">
        <f aca="false">IF(C1026=1,E1026,IF(P1026=1,$E$2003+Q1026,""))</f>
        <v/>
      </c>
      <c r="E1026" s="0" t="n">
        <f aca="false">E1025+C1026</f>
        <v>0</v>
      </c>
      <c r="P1026" s="0" t="n">
        <f aca="false">IF(AND(Comments!B1024='Policy card'!$C$3,Comments!N1024="Closed"),1,0)</f>
        <v>0</v>
      </c>
      <c r="Q1026" s="0" t="n">
        <f aca="false">Q1025+P1026</f>
        <v>7</v>
      </c>
    </row>
    <row r="1027" customFormat="false" ht="15" hidden="false" customHeight="false" outlineLevel="0" collapsed="false">
      <c r="C1027" s="0" t="n">
        <f aca="false">IF(AND(Comments!B1025='Policy card'!$C$3,Comments!N1025="Open"),1,0)</f>
        <v>0</v>
      </c>
      <c r="D1027" s="0" t="str">
        <f aca="false">IF(C1027=1,E1027,IF(P1027=1,$E$2003+Q1027,""))</f>
        <v/>
      </c>
      <c r="E1027" s="0" t="n">
        <f aca="false">E1026+C1027</f>
        <v>0</v>
      </c>
      <c r="P1027" s="0" t="n">
        <f aca="false">IF(AND(Comments!B1025='Policy card'!$C$3,Comments!N1025="Closed"),1,0)</f>
        <v>0</v>
      </c>
      <c r="Q1027" s="0" t="n">
        <f aca="false">Q1026+P1027</f>
        <v>7</v>
      </c>
    </row>
    <row r="1028" customFormat="false" ht="15" hidden="false" customHeight="false" outlineLevel="0" collapsed="false">
      <c r="C1028" s="0" t="n">
        <f aca="false">IF(AND(Comments!B1026='Policy card'!$C$3,Comments!N1026="Open"),1,0)</f>
        <v>0</v>
      </c>
      <c r="D1028" s="0" t="str">
        <f aca="false">IF(C1028=1,E1028,IF(P1028=1,$E$2003+Q1028,""))</f>
        <v/>
      </c>
      <c r="E1028" s="0" t="n">
        <f aca="false">E1027+C1028</f>
        <v>0</v>
      </c>
      <c r="P1028" s="0" t="n">
        <f aca="false">IF(AND(Comments!B1026='Policy card'!$C$3,Comments!N1026="Closed"),1,0)</f>
        <v>0</v>
      </c>
      <c r="Q1028" s="0" t="n">
        <f aca="false">Q1027+P1028</f>
        <v>7</v>
      </c>
    </row>
    <row r="1029" customFormat="false" ht="15" hidden="false" customHeight="false" outlineLevel="0" collapsed="false">
      <c r="C1029" s="0" t="n">
        <f aca="false">IF(AND(Comments!B1027='Policy card'!$C$3,Comments!N1027="Open"),1,0)</f>
        <v>0</v>
      </c>
      <c r="D1029" s="0" t="str">
        <f aca="false">IF(C1029=1,E1029,IF(P1029=1,$E$2003+Q1029,""))</f>
        <v/>
      </c>
      <c r="E1029" s="0" t="n">
        <f aca="false">E1028+C1029</f>
        <v>0</v>
      </c>
      <c r="P1029" s="0" t="n">
        <f aca="false">IF(AND(Comments!B1027='Policy card'!$C$3,Comments!N1027="Closed"),1,0)</f>
        <v>0</v>
      </c>
      <c r="Q1029" s="0" t="n">
        <f aca="false">Q1028+P1029</f>
        <v>7</v>
      </c>
    </row>
    <row r="1030" customFormat="false" ht="15" hidden="false" customHeight="false" outlineLevel="0" collapsed="false">
      <c r="C1030" s="0" t="n">
        <f aca="false">IF(AND(Comments!B1028='Policy card'!$C$3,Comments!N1028="Open"),1,0)</f>
        <v>0</v>
      </c>
      <c r="D1030" s="0" t="str">
        <f aca="false">IF(C1030=1,E1030,IF(P1030=1,$E$2003+Q1030,""))</f>
        <v/>
      </c>
      <c r="E1030" s="0" t="n">
        <f aca="false">E1029+C1030</f>
        <v>0</v>
      </c>
      <c r="P1030" s="0" t="n">
        <f aca="false">IF(AND(Comments!B1028='Policy card'!$C$3,Comments!N1028="Closed"),1,0)</f>
        <v>0</v>
      </c>
      <c r="Q1030" s="0" t="n">
        <f aca="false">Q1029+P1030</f>
        <v>7</v>
      </c>
    </row>
    <row r="1031" customFormat="false" ht="15" hidden="false" customHeight="false" outlineLevel="0" collapsed="false">
      <c r="C1031" s="0" t="n">
        <f aca="false">IF(AND(Comments!B1029='Policy card'!$C$3,Comments!N1029="Open"),1,0)</f>
        <v>0</v>
      </c>
      <c r="D1031" s="0" t="str">
        <f aca="false">IF(C1031=1,E1031,IF(P1031=1,$E$2003+Q1031,""))</f>
        <v/>
      </c>
      <c r="E1031" s="0" t="n">
        <f aca="false">E1030+C1031</f>
        <v>0</v>
      </c>
      <c r="P1031" s="0" t="n">
        <f aca="false">IF(AND(Comments!B1029='Policy card'!$C$3,Comments!N1029="Closed"),1,0)</f>
        <v>0</v>
      </c>
      <c r="Q1031" s="0" t="n">
        <f aca="false">Q1030+P1031</f>
        <v>7</v>
      </c>
    </row>
    <row r="1032" customFormat="false" ht="15" hidden="false" customHeight="false" outlineLevel="0" collapsed="false">
      <c r="C1032" s="0" t="n">
        <f aca="false">IF(AND(Comments!B1030='Policy card'!$C$3,Comments!N1030="Open"),1,0)</f>
        <v>0</v>
      </c>
      <c r="D1032" s="0" t="str">
        <f aca="false">IF(C1032=1,E1032,IF(P1032=1,$E$2003+Q1032,""))</f>
        <v/>
      </c>
      <c r="E1032" s="0" t="n">
        <f aca="false">E1031+C1032</f>
        <v>0</v>
      </c>
      <c r="P1032" s="0" t="n">
        <f aca="false">IF(AND(Comments!B1030='Policy card'!$C$3,Comments!N1030="Closed"),1,0)</f>
        <v>0</v>
      </c>
      <c r="Q1032" s="0" t="n">
        <f aca="false">Q1031+P1032</f>
        <v>7</v>
      </c>
    </row>
    <row r="1033" customFormat="false" ht="15" hidden="false" customHeight="false" outlineLevel="0" collapsed="false">
      <c r="C1033" s="0" t="n">
        <f aca="false">IF(AND(Comments!B1031='Policy card'!$C$3,Comments!N1031="Open"),1,0)</f>
        <v>0</v>
      </c>
      <c r="D1033" s="0" t="str">
        <f aca="false">IF(C1033=1,E1033,IF(P1033=1,$E$2003+Q1033,""))</f>
        <v/>
      </c>
      <c r="E1033" s="0" t="n">
        <f aca="false">E1032+C1033</f>
        <v>0</v>
      </c>
      <c r="P1033" s="0" t="n">
        <f aca="false">IF(AND(Comments!B1031='Policy card'!$C$3,Comments!N1031="Closed"),1,0)</f>
        <v>0</v>
      </c>
      <c r="Q1033" s="0" t="n">
        <f aca="false">Q1032+P1033</f>
        <v>7</v>
      </c>
    </row>
    <row r="1034" customFormat="false" ht="15" hidden="false" customHeight="false" outlineLevel="0" collapsed="false">
      <c r="C1034" s="0" t="n">
        <f aca="false">IF(AND(Comments!B1032='Policy card'!$C$3,Comments!N1032="Open"),1,0)</f>
        <v>0</v>
      </c>
      <c r="D1034" s="0" t="str">
        <f aca="false">IF(C1034=1,E1034,IF(P1034=1,$E$2003+Q1034,""))</f>
        <v/>
      </c>
      <c r="E1034" s="0" t="n">
        <f aca="false">E1033+C1034</f>
        <v>0</v>
      </c>
      <c r="P1034" s="0" t="n">
        <f aca="false">IF(AND(Comments!B1032='Policy card'!$C$3,Comments!N1032="Closed"),1,0)</f>
        <v>0</v>
      </c>
      <c r="Q1034" s="0" t="n">
        <f aca="false">Q1033+P1034</f>
        <v>7</v>
      </c>
    </row>
    <row r="1035" customFormat="false" ht="15" hidden="false" customHeight="false" outlineLevel="0" collapsed="false">
      <c r="C1035" s="0" t="n">
        <f aca="false">IF(AND(Comments!B1033='Policy card'!$C$3,Comments!N1033="Open"),1,0)</f>
        <v>0</v>
      </c>
      <c r="D1035" s="0" t="str">
        <f aca="false">IF(C1035=1,E1035,IF(P1035=1,$E$2003+Q1035,""))</f>
        <v/>
      </c>
      <c r="E1035" s="0" t="n">
        <f aca="false">E1034+C1035</f>
        <v>0</v>
      </c>
      <c r="P1035" s="0" t="n">
        <f aca="false">IF(AND(Comments!B1033='Policy card'!$C$3,Comments!N1033="Closed"),1,0)</f>
        <v>0</v>
      </c>
      <c r="Q1035" s="0" t="n">
        <f aca="false">Q1034+P1035</f>
        <v>7</v>
      </c>
    </row>
    <row r="1036" customFormat="false" ht="15" hidden="false" customHeight="false" outlineLevel="0" collapsed="false">
      <c r="C1036" s="0" t="n">
        <f aca="false">IF(AND(Comments!B1034='Policy card'!$C$3,Comments!N1034="Open"),1,0)</f>
        <v>0</v>
      </c>
      <c r="D1036" s="0" t="str">
        <f aca="false">IF(C1036=1,E1036,IF(P1036=1,$E$2003+Q1036,""))</f>
        <v/>
      </c>
      <c r="E1036" s="0" t="n">
        <f aca="false">E1035+C1036</f>
        <v>0</v>
      </c>
      <c r="P1036" s="0" t="n">
        <f aca="false">IF(AND(Comments!B1034='Policy card'!$C$3,Comments!N1034="Closed"),1,0)</f>
        <v>0</v>
      </c>
      <c r="Q1036" s="0" t="n">
        <f aca="false">Q1035+P1036</f>
        <v>7</v>
      </c>
    </row>
    <row r="1037" customFormat="false" ht="15" hidden="false" customHeight="false" outlineLevel="0" collapsed="false">
      <c r="C1037" s="0" t="n">
        <f aca="false">IF(AND(Comments!B1035='Policy card'!$C$3,Comments!N1035="Open"),1,0)</f>
        <v>0</v>
      </c>
      <c r="D1037" s="0" t="str">
        <f aca="false">IF(C1037=1,E1037,IF(P1037=1,$E$2003+Q1037,""))</f>
        <v/>
      </c>
      <c r="E1037" s="0" t="n">
        <f aca="false">E1036+C1037</f>
        <v>0</v>
      </c>
      <c r="P1037" s="0" t="n">
        <f aca="false">IF(AND(Comments!B1035='Policy card'!$C$3,Comments!N1035="Closed"),1,0)</f>
        <v>0</v>
      </c>
      <c r="Q1037" s="0" t="n">
        <f aca="false">Q1036+P1037</f>
        <v>7</v>
      </c>
    </row>
    <row r="1038" customFormat="false" ht="15" hidden="false" customHeight="false" outlineLevel="0" collapsed="false">
      <c r="C1038" s="0" t="n">
        <f aca="false">IF(AND(Comments!B1036='Policy card'!$C$3,Comments!N1036="Open"),1,0)</f>
        <v>0</v>
      </c>
      <c r="D1038" s="0" t="str">
        <f aca="false">IF(C1038=1,E1038,IF(P1038=1,$E$2003+Q1038,""))</f>
        <v/>
      </c>
      <c r="E1038" s="0" t="n">
        <f aca="false">E1037+C1038</f>
        <v>0</v>
      </c>
      <c r="P1038" s="0" t="n">
        <f aca="false">IF(AND(Comments!B1036='Policy card'!$C$3,Comments!N1036="Closed"),1,0)</f>
        <v>0</v>
      </c>
      <c r="Q1038" s="0" t="n">
        <f aca="false">Q1037+P1038</f>
        <v>7</v>
      </c>
    </row>
    <row r="1039" customFormat="false" ht="15" hidden="false" customHeight="false" outlineLevel="0" collapsed="false">
      <c r="C1039" s="0" t="n">
        <f aca="false">IF(AND(Comments!B1037='Policy card'!$C$3,Comments!N1037="Open"),1,0)</f>
        <v>0</v>
      </c>
      <c r="D1039" s="0" t="str">
        <f aca="false">IF(C1039=1,E1039,IF(P1039=1,$E$2003+Q1039,""))</f>
        <v/>
      </c>
      <c r="E1039" s="0" t="n">
        <f aca="false">E1038+C1039</f>
        <v>0</v>
      </c>
      <c r="P1039" s="0" t="n">
        <f aca="false">IF(AND(Comments!B1037='Policy card'!$C$3,Comments!N1037="Closed"),1,0)</f>
        <v>0</v>
      </c>
      <c r="Q1039" s="0" t="n">
        <f aca="false">Q1038+P1039</f>
        <v>7</v>
      </c>
    </row>
    <row r="1040" customFormat="false" ht="15" hidden="false" customHeight="false" outlineLevel="0" collapsed="false">
      <c r="C1040" s="0" t="n">
        <f aca="false">IF(AND(Comments!B1038='Policy card'!$C$3,Comments!N1038="Open"),1,0)</f>
        <v>0</v>
      </c>
      <c r="D1040" s="0" t="str">
        <f aca="false">IF(C1040=1,E1040,IF(P1040=1,$E$2003+Q1040,""))</f>
        <v/>
      </c>
      <c r="E1040" s="0" t="n">
        <f aca="false">E1039+C1040</f>
        <v>0</v>
      </c>
      <c r="P1040" s="0" t="n">
        <f aca="false">IF(AND(Comments!B1038='Policy card'!$C$3,Comments!N1038="Closed"),1,0)</f>
        <v>0</v>
      </c>
      <c r="Q1040" s="0" t="n">
        <f aca="false">Q1039+P1040</f>
        <v>7</v>
      </c>
    </row>
    <row r="1041" customFormat="false" ht="15" hidden="false" customHeight="false" outlineLevel="0" collapsed="false">
      <c r="C1041" s="0" t="n">
        <f aca="false">IF(AND(Comments!B1039='Policy card'!$C$3,Comments!N1039="Open"),1,0)</f>
        <v>0</v>
      </c>
      <c r="D1041" s="0" t="str">
        <f aca="false">IF(C1041=1,E1041,IF(P1041=1,$E$2003+Q1041,""))</f>
        <v/>
      </c>
      <c r="E1041" s="0" t="n">
        <f aca="false">E1040+C1041</f>
        <v>0</v>
      </c>
      <c r="P1041" s="0" t="n">
        <f aca="false">IF(AND(Comments!B1039='Policy card'!$C$3,Comments!N1039="Closed"),1,0)</f>
        <v>0</v>
      </c>
      <c r="Q1041" s="0" t="n">
        <f aca="false">Q1040+P1041</f>
        <v>7</v>
      </c>
    </row>
    <row r="1042" customFormat="false" ht="15" hidden="false" customHeight="false" outlineLevel="0" collapsed="false">
      <c r="C1042" s="0" t="n">
        <f aca="false">IF(AND(Comments!B1040='Policy card'!$C$3,Comments!N1040="Open"),1,0)</f>
        <v>0</v>
      </c>
      <c r="D1042" s="0" t="str">
        <f aca="false">IF(C1042=1,E1042,IF(P1042=1,$E$2003+Q1042,""))</f>
        <v/>
      </c>
      <c r="E1042" s="0" t="n">
        <f aca="false">E1041+C1042</f>
        <v>0</v>
      </c>
      <c r="P1042" s="0" t="n">
        <f aca="false">IF(AND(Comments!B1040='Policy card'!$C$3,Comments!N1040="Closed"),1,0)</f>
        <v>0</v>
      </c>
      <c r="Q1042" s="0" t="n">
        <f aca="false">Q1041+P1042</f>
        <v>7</v>
      </c>
    </row>
    <row r="1043" customFormat="false" ht="15" hidden="false" customHeight="false" outlineLevel="0" collapsed="false">
      <c r="C1043" s="0" t="n">
        <f aca="false">IF(AND(Comments!B1041='Policy card'!$C$3,Comments!N1041="Open"),1,0)</f>
        <v>0</v>
      </c>
      <c r="D1043" s="0" t="str">
        <f aca="false">IF(C1043=1,E1043,IF(P1043=1,$E$2003+Q1043,""))</f>
        <v/>
      </c>
      <c r="E1043" s="0" t="n">
        <f aca="false">E1042+C1043</f>
        <v>0</v>
      </c>
      <c r="P1043" s="0" t="n">
        <f aca="false">IF(AND(Comments!B1041='Policy card'!$C$3,Comments!N1041="Closed"),1,0)</f>
        <v>0</v>
      </c>
      <c r="Q1043" s="0" t="n">
        <f aca="false">Q1042+P1043</f>
        <v>7</v>
      </c>
    </row>
    <row r="1044" customFormat="false" ht="15" hidden="false" customHeight="false" outlineLevel="0" collapsed="false">
      <c r="C1044" s="0" t="n">
        <f aca="false">IF(AND(Comments!B1042='Policy card'!$C$3,Comments!N1042="Open"),1,0)</f>
        <v>0</v>
      </c>
      <c r="D1044" s="0" t="str">
        <f aca="false">IF(C1044=1,E1044,IF(P1044=1,$E$2003+Q1044,""))</f>
        <v/>
      </c>
      <c r="E1044" s="0" t="n">
        <f aca="false">E1043+C1044</f>
        <v>0</v>
      </c>
      <c r="P1044" s="0" t="n">
        <f aca="false">IF(AND(Comments!B1042='Policy card'!$C$3,Comments!N1042="Closed"),1,0)</f>
        <v>0</v>
      </c>
      <c r="Q1044" s="0" t="n">
        <f aca="false">Q1043+P1044</f>
        <v>7</v>
      </c>
    </row>
    <row r="1045" customFormat="false" ht="15" hidden="false" customHeight="false" outlineLevel="0" collapsed="false">
      <c r="C1045" s="0" t="n">
        <f aca="false">IF(AND(Comments!B1043='Policy card'!$C$3,Comments!N1043="Open"),1,0)</f>
        <v>0</v>
      </c>
      <c r="D1045" s="0" t="str">
        <f aca="false">IF(C1045=1,E1045,IF(P1045=1,$E$2003+Q1045,""))</f>
        <v/>
      </c>
      <c r="E1045" s="0" t="n">
        <f aca="false">E1044+C1045</f>
        <v>0</v>
      </c>
      <c r="P1045" s="0" t="n">
        <f aca="false">IF(AND(Comments!B1043='Policy card'!$C$3,Comments!N1043="Closed"),1,0)</f>
        <v>0</v>
      </c>
      <c r="Q1045" s="0" t="n">
        <f aca="false">Q1044+P1045</f>
        <v>7</v>
      </c>
    </row>
    <row r="1046" customFormat="false" ht="15" hidden="false" customHeight="false" outlineLevel="0" collapsed="false">
      <c r="C1046" s="0" t="n">
        <f aca="false">IF(AND(Comments!B1044='Policy card'!$C$3,Comments!N1044="Open"),1,0)</f>
        <v>0</v>
      </c>
      <c r="D1046" s="0" t="str">
        <f aca="false">IF(C1046=1,E1046,IF(P1046=1,$E$2003+Q1046,""))</f>
        <v/>
      </c>
      <c r="E1046" s="0" t="n">
        <f aca="false">E1045+C1046</f>
        <v>0</v>
      </c>
      <c r="P1046" s="0" t="n">
        <f aca="false">IF(AND(Comments!B1044='Policy card'!$C$3,Comments!N1044="Closed"),1,0)</f>
        <v>0</v>
      </c>
      <c r="Q1046" s="0" t="n">
        <f aca="false">Q1045+P1046</f>
        <v>7</v>
      </c>
    </row>
    <row r="1047" customFormat="false" ht="15" hidden="false" customHeight="false" outlineLevel="0" collapsed="false">
      <c r="C1047" s="0" t="n">
        <f aca="false">IF(AND(Comments!B1045='Policy card'!$C$3,Comments!N1045="Open"),1,0)</f>
        <v>0</v>
      </c>
      <c r="D1047" s="0" t="str">
        <f aca="false">IF(C1047=1,E1047,IF(P1047=1,$E$2003+Q1047,""))</f>
        <v/>
      </c>
      <c r="E1047" s="0" t="n">
        <f aca="false">E1046+C1047</f>
        <v>0</v>
      </c>
      <c r="P1047" s="0" t="n">
        <f aca="false">IF(AND(Comments!B1045='Policy card'!$C$3,Comments!N1045="Closed"),1,0)</f>
        <v>0</v>
      </c>
      <c r="Q1047" s="0" t="n">
        <f aca="false">Q1046+P1047</f>
        <v>7</v>
      </c>
    </row>
    <row r="1048" customFormat="false" ht="15" hidden="false" customHeight="false" outlineLevel="0" collapsed="false">
      <c r="C1048" s="0" t="n">
        <f aca="false">IF(AND(Comments!B1046='Policy card'!$C$3,Comments!N1046="Open"),1,0)</f>
        <v>0</v>
      </c>
      <c r="D1048" s="0" t="str">
        <f aca="false">IF(C1048=1,E1048,IF(P1048=1,$E$2003+Q1048,""))</f>
        <v/>
      </c>
      <c r="E1048" s="0" t="n">
        <f aca="false">E1047+C1048</f>
        <v>0</v>
      </c>
      <c r="P1048" s="0" t="n">
        <f aca="false">IF(AND(Comments!B1046='Policy card'!$C$3,Comments!N1046="Closed"),1,0)</f>
        <v>0</v>
      </c>
      <c r="Q1048" s="0" t="n">
        <f aca="false">Q1047+P1048</f>
        <v>7</v>
      </c>
    </row>
    <row r="1049" customFormat="false" ht="15" hidden="false" customHeight="false" outlineLevel="0" collapsed="false">
      <c r="C1049" s="0" t="n">
        <f aca="false">IF(AND(Comments!B1047='Policy card'!$C$3,Comments!N1047="Open"),1,0)</f>
        <v>0</v>
      </c>
      <c r="D1049" s="0" t="str">
        <f aca="false">IF(C1049=1,E1049,IF(P1049=1,$E$2003+Q1049,""))</f>
        <v/>
      </c>
      <c r="E1049" s="0" t="n">
        <f aca="false">E1048+C1049</f>
        <v>0</v>
      </c>
      <c r="P1049" s="0" t="n">
        <f aca="false">IF(AND(Comments!B1047='Policy card'!$C$3,Comments!N1047="Closed"),1,0)</f>
        <v>0</v>
      </c>
      <c r="Q1049" s="0" t="n">
        <f aca="false">Q1048+P1049</f>
        <v>7</v>
      </c>
    </row>
    <row r="1050" customFormat="false" ht="15" hidden="false" customHeight="false" outlineLevel="0" collapsed="false">
      <c r="C1050" s="0" t="n">
        <f aca="false">IF(AND(Comments!B1048='Policy card'!$C$3,Comments!N1048="Open"),1,0)</f>
        <v>0</v>
      </c>
      <c r="D1050" s="0" t="str">
        <f aca="false">IF(C1050=1,E1050,IF(P1050=1,$E$2003+Q1050,""))</f>
        <v/>
      </c>
      <c r="E1050" s="0" t="n">
        <f aca="false">E1049+C1050</f>
        <v>0</v>
      </c>
      <c r="P1050" s="0" t="n">
        <f aca="false">IF(AND(Comments!B1048='Policy card'!$C$3,Comments!N1048="Closed"),1,0)</f>
        <v>0</v>
      </c>
      <c r="Q1050" s="0" t="n">
        <f aca="false">Q1049+P1050</f>
        <v>7</v>
      </c>
    </row>
    <row r="1051" customFormat="false" ht="15" hidden="false" customHeight="false" outlineLevel="0" collapsed="false">
      <c r="C1051" s="0" t="n">
        <f aca="false">IF(AND(Comments!B1049='Policy card'!$C$3,Comments!N1049="Open"),1,0)</f>
        <v>0</v>
      </c>
      <c r="D1051" s="0" t="str">
        <f aca="false">IF(C1051=1,E1051,IF(P1051=1,$E$2003+Q1051,""))</f>
        <v/>
      </c>
      <c r="E1051" s="0" t="n">
        <f aca="false">E1050+C1051</f>
        <v>0</v>
      </c>
      <c r="P1051" s="0" t="n">
        <f aca="false">IF(AND(Comments!B1049='Policy card'!$C$3,Comments!N1049="Closed"),1,0)</f>
        <v>0</v>
      </c>
      <c r="Q1051" s="0" t="n">
        <f aca="false">Q1050+P1051</f>
        <v>7</v>
      </c>
    </row>
    <row r="1052" customFormat="false" ht="15" hidden="false" customHeight="false" outlineLevel="0" collapsed="false">
      <c r="C1052" s="0" t="n">
        <f aca="false">IF(AND(Comments!B1050='Policy card'!$C$3,Comments!N1050="Open"),1,0)</f>
        <v>0</v>
      </c>
      <c r="D1052" s="0" t="str">
        <f aca="false">IF(C1052=1,E1052,IF(P1052=1,$E$2003+Q1052,""))</f>
        <v/>
      </c>
      <c r="E1052" s="0" t="n">
        <f aca="false">E1051+C1052</f>
        <v>0</v>
      </c>
      <c r="P1052" s="0" t="n">
        <f aca="false">IF(AND(Comments!B1050='Policy card'!$C$3,Comments!N1050="Closed"),1,0)</f>
        <v>0</v>
      </c>
      <c r="Q1052" s="0" t="n">
        <f aca="false">Q1051+P1052</f>
        <v>7</v>
      </c>
    </row>
    <row r="1053" customFormat="false" ht="15" hidden="false" customHeight="false" outlineLevel="0" collapsed="false">
      <c r="C1053" s="0" t="n">
        <f aca="false">IF(AND(Comments!B1051='Policy card'!$C$3,Comments!N1051="Open"),1,0)</f>
        <v>0</v>
      </c>
      <c r="D1053" s="0" t="str">
        <f aca="false">IF(C1053=1,E1053,IF(P1053=1,$E$2003+Q1053,""))</f>
        <v/>
      </c>
      <c r="E1053" s="0" t="n">
        <f aca="false">E1052+C1053</f>
        <v>0</v>
      </c>
      <c r="P1053" s="0" t="n">
        <f aca="false">IF(AND(Comments!B1051='Policy card'!$C$3,Comments!N1051="Closed"),1,0)</f>
        <v>0</v>
      </c>
      <c r="Q1053" s="0" t="n">
        <f aca="false">Q1052+P1053</f>
        <v>7</v>
      </c>
    </row>
    <row r="1054" customFormat="false" ht="15" hidden="false" customHeight="false" outlineLevel="0" collapsed="false">
      <c r="C1054" s="0" t="n">
        <f aca="false">IF(AND(Comments!B1052='Policy card'!$C$3,Comments!N1052="Open"),1,0)</f>
        <v>0</v>
      </c>
      <c r="D1054" s="0" t="str">
        <f aca="false">IF(C1054=1,E1054,IF(P1054=1,$E$2003+Q1054,""))</f>
        <v/>
      </c>
      <c r="E1054" s="0" t="n">
        <f aca="false">E1053+C1054</f>
        <v>0</v>
      </c>
      <c r="P1054" s="0" t="n">
        <f aca="false">IF(AND(Comments!B1052='Policy card'!$C$3,Comments!N1052="Closed"),1,0)</f>
        <v>0</v>
      </c>
      <c r="Q1054" s="0" t="n">
        <f aca="false">Q1053+P1054</f>
        <v>7</v>
      </c>
    </row>
    <row r="1055" customFormat="false" ht="15" hidden="false" customHeight="false" outlineLevel="0" collapsed="false">
      <c r="C1055" s="0" t="n">
        <f aca="false">IF(AND(Comments!B1053='Policy card'!$C$3,Comments!N1053="Open"),1,0)</f>
        <v>0</v>
      </c>
      <c r="D1055" s="0" t="str">
        <f aca="false">IF(C1055=1,E1055,IF(P1055=1,$E$2003+Q1055,""))</f>
        <v/>
      </c>
      <c r="E1055" s="0" t="n">
        <f aca="false">E1054+C1055</f>
        <v>0</v>
      </c>
      <c r="P1055" s="0" t="n">
        <f aca="false">IF(AND(Comments!B1053='Policy card'!$C$3,Comments!N1053="Closed"),1,0)</f>
        <v>0</v>
      </c>
      <c r="Q1055" s="0" t="n">
        <f aca="false">Q1054+P1055</f>
        <v>7</v>
      </c>
    </row>
    <row r="1056" customFormat="false" ht="15" hidden="false" customHeight="false" outlineLevel="0" collapsed="false">
      <c r="C1056" s="0" t="n">
        <f aca="false">IF(AND(Comments!B1054='Policy card'!$C$3,Comments!N1054="Open"),1,0)</f>
        <v>0</v>
      </c>
      <c r="D1056" s="0" t="str">
        <f aca="false">IF(C1056=1,E1056,IF(P1056=1,$E$2003+Q1056,""))</f>
        <v/>
      </c>
      <c r="E1056" s="0" t="n">
        <f aca="false">E1055+C1056</f>
        <v>0</v>
      </c>
      <c r="P1056" s="0" t="n">
        <f aca="false">IF(AND(Comments!B1054='Policy card'!$C$3,Comments!N1054="Closed"),1,0)</f>
        <v>0</v>
      </c>
      <c r="Q1056" s="0" t="n">
        <f aca="false">Q1055+P1056</f>
        <v>7</v>
      </c>
    </row>
    <row r="1057" customFormat="false" ht="15" hidden="false" customHeight="false" outlineLevel="0" collapsed="false">
      <c r="C1057" s="0" t="n">
        <f aca="false">IF(AND(Comments!B1055='Policy card'!$C$3,Comments!N1055="Open"),1,0)</f>
        <v>0</v>
      </c>
      <c r="D1057" s="0" t="str">
        <f aca="false">IF(C1057=1,E1057,IF(P1057=1,$E$2003+Q1057,""))</f>
        <v/>
      </c>
      <c r="E1057" s="0" t="n">
        <f aca="false">E1056+C1057</f>
        <v>0</v>
      </c>
      <c r="P1057" s="0" t="n">
        <f aca="false">IF(AND(Comments!B1055='Policy card'!$C$3,Comments!N1055="Closed"),1,0)</f>
        <v>0</v>
      </c>
      <c r="Q1057" s="0" t="n">
        <f aca="false">Q1056+P1057</f>
        <v>7</v>
      </c>
    </row>
    <row r="1058" customFormat="false" ht="15" hidden="false" customHeight="false" outlineLevel="0" collapsed="false">
      <c r="C1058" s="0" t="n">
        <f aca="false">IF(AND(Comments!B1056='Policy card'!$C$3,Comments!N1056="Open"),1,0)</f>
        <v>0</v>
      </c>
      <c r="D1058" s="0" t="str">
        <f aca="false">IF(C1058=1,E1058,IF(P1058=1,$E$2003+Q1058,""))</f>
        <v/>
      </c>
      <c r="E1058" s="0" t="n">
        <f aca="false">E1057+C1058</f>
        <v>0</v>
      </c>
      <c r="P1058" s="0" t="n">
        <f aca="false">IF(AND(Comments!B1056='Policy card'!$C$3,Comments!N1056="Closed"),1,0)</f>
        <v>0</v>
      </c>
      <c r="Q1058" s="0" t="n">
        <f aca="false">Q1057+P1058</f>
        <v>7</v>
      </c>
    </row>
    <row r="1059" customFormat="false" ht="15" hidden="false" customHeight="false" outlineLevel="0" collapsed="false">
      <c r="C1059" s="0" t="n">
        <f aca="false">IF(AND(Comments!B1057='Policy card'!$C$3,Comments!N1057="Open"),1,0)</f>
        <v>0</v>
      </c>
      <c r="D1059" s="0" t="str">
        <f aca="false">IF(C1059=1,E1059,IF(P1059=1,$E$2003+Q1059,""))</f>
        <v/>
      </c>
      <c r="E1059" s="0" t="n">
        <f aca="false">E1058+C1059</f>
        <v>0</v>
      </c>
      <c r="P1059" s="0" t="n">
        <f aca="false">IF(AND(Comments!B1057='Policy card'!$C$3,Comments!N1057="Closed"),1,0)</f>
        <v>0</v>
      </c>
      <c r="Q1059" s="0" t="n">
        <f aca="false">Q1058+P1059</f>
        <v>7</v>
      </c>
    </row>
    <row r="1060" customFormat="false" ht="15" hidden="false" customHeight="false" outlineLevel="0" collapsed="false">
      <c r="C1060" s="0" t="n">
        <f aca="false">IF(AND(Comments!B1058='Policy card'!$C$3,Comments!N1058="Open"),1,0)</f>
        <v>0</v>
      </c>
      <c r="D1060" s="0" t="str">
        <f aca="false">IF(C1060=1,E1060,IF(P1060=1,$E$2003+Q1060,""))</f>
        <v/>
      </c>
      <c r="E1060" s="0" t="n">
        <f aca="false">E1059+C1060</f>
        <v>0</v>
      </c>
      <c r="P1060" s="0" t="n">
        <f aca="false">IF(AND(Comments!B1058='Policy card'!$C$3,Comments!N1058="Closed"),1,0)</f>
        <v>0</v>
      </c>
      <c r="Q1060" s="0" t="n">
        <f aca="false">Q1059+P1060</f>
        <v>7</v>
      </c>
    </row>
    <row r="1061" customFormat="false" ht="15" hidden="false" customHeight="false" outlineLevel="0" collapsed="false">
      <c r="C1061" s="0" t="n">
        <f aca="false">IF(AND(Comments!B1059='Policy card'!$C$3,Comments!N1059="Open"),1,0)</f>
        <v>0</v>
      </c>
      <c r="D1061" s="0" t="str">
        <f aca="false">IF(C1061=1,E1061,IF(P1061=1,$E$2003+Q1061,""))</f>
        <v/>
      </c>
      <c r="E1061" s="0" t="n">
        <f aca="false">E1060+C1061</f>
        <v>0</v>
      </c>
      <c r="P1061" s="0" t="n">
        <f aca="false">IF(AND(Comments!B1059='Policy card'!$C$3,Comments!N1059="Closed"),1,0)</f>
        <v>0</v>
      </c>
      <c r="Q1061" s="0" t="n">
        <f aca="false">Q1060+P1061</f>
        <v>7</v>
      </c>
    </row>
    <row r="1062" customFormat="false" ht="15" hidden="false" customHeight="false" outlineLevel="0" collapsed="false">
      <c r="C1062" s="0" t="n">
        <f aca="false">IF(AND(Comments!B1060='Policy card'!$C$3,Comments!N1060="Open"),1,0)</f>
        <v>0</v>
      </c>
      <c r="D1062" s="0" t="str">
        <f aca="false">IF(C1062=1,E1062,IF(P1062=1,$E$2003+Q1062,""))</f>
        <v/>
      </c>
      <c r="E1062" s="0" t="n">
        <f aca="false">E1061+C1062</f>
        <v>0</v>
      </c>
      <c r="P1062" s="0" t="n">
        <f aca="false">IF(AND(Comments!B1060='Policy card'!$C$3,Comments!N1060="Closed"),1,0)</f>
        <v>0</v>
      </c>
      <c r="Q1062" s="0" t="n">
        <f aca="false">Q1061+P1062</f>
        <v>7</v>
      </c>
    </row>
    <row r="1063" customFormat="false" ht="15" hidden="false" customHeight="false" outlineLevel="0" collapsed="false">
      <c r="C1063" s="0" t="n">
        <f aca="false">IF(AND(Comments!B1061='Policy card'!$C$3,Comments!N1061="Open"),1,0)</f>
        <v>0</v>
      </c>
      <c r="D1063" s="0" t="str">
        <f aca="false">IF(C1063=1,E1063,IF(P1063=1,$E$2003+Q1063,""))</f>
        <v/>
      </c>
      <c r="E1063" s="0" t="n">
        <f aca="false">E1062+C1063</f>
        <v>0</v>
      </c>
      <c r="P1063" s="0" t="n">
        <f aca="false">IF(AND(Comments!B1061='Policy card'!$C$3,Comments!N1061="Closed"),1,0)</f>
        <v>0</v>
      </c>
      <c r="Q1063" s="0" t="n">
        <f aca="false">Q1062+P1063</f>
        <v>7</v>
      </c>
    </row>
    <row r="1064" customFormat="false" ht="15" hidden="false" customHeight="false" outlineLevel="0" collapsed="false">
      <c r="C1064" s="0" t="n">
        <f aca="false">IF(AND(Comments!B1062='Policy card'!$C$3,Comments!N1062="Open"),1,0)</f>
        <v>0</v>
      </c>
      <c r="D1064" s="0" t="str">
        <f aca="false">IF(C1064=1,E1064,IF(P1064=1,$E$2003+Q1064,""))</f>
        <v/>
      </c>
      <c r="E1064" s="0" t="n">
        <f aca="false">E1063+C1064</f>
        <v>0</v>
      </c>
      <c r="P1064" s="0" t="n">
        <f aca="false">IF(AND(Comments!B1062='Policy card'!$C$3,Comments!N1062="Closed"),1,0)</f>
        <v>0</v>
      </c>
      <c r="Q1064" s="0" t="n">
        <f aca="false">Q1063+P1064</f>
        <v>7</v>
      </c>
    </row>
    <row r="1065" customFormat="false" ht="15" hidden="false" customHeight="false" outlineLevel="0" collapsed="false">
      <c r="C1065" s="0" t="n">
        <f aca="false">IF(AND(Comments!B1063='Policy card'!$C$3,Comments!N1063="Open"),1,0)</f>
        <v>0</v>
      </c>
      <c r="D1065" s="0" t="str">
        <f aca="false">IF(C1065=1,E1065,IF(P1065=1,$E$2003+Q1065,""))</f>
        <v/>
      </c>
      <c r="E1065" s="0" t="n">
        <f aca="false">E1064+C1065</f>
        <v>0</v>
      </c>
      <c r="P1065" s="0" t="n">
        <f aca="false">IF(AND(Comments!B1063='Policy card'!$C$3,Comments!N1063="Closed"),1,0)</f>
        <v>0</v>
      </c>
      <c r="Q1065" s="0" t="n">
        <f aca="false">Q1064+P1065</f>
        <v>7</v>
      </c>
    </row>
    <row r="1066" customFormat="false" ht="15" hidden="false" customHeight="false" outlineLevel="0" collapsed="false">
      <c r="C1066" s="0" t="n">
        <f aca="false">IF(AND(Comments!B1064='Policy card'!$C$3,Comments!N1064="Open"),1,0)</f>
        <v>0</v>
      </c>
      <c r="D1066" s="0" t="str">
        <f aca="false">IF(C1066=1,E1066,IF(P1066=1,$E$2003+Q1066,""))</f>
        <v/>
      </c>
      <c r="E1066" s="0" t="n">
        <f aca="false">E1065+C1066</f>
        <v>0</v>
      </c>
      <c r="P1066" s="0" t="n">
        <f aca="false">IF(AND(Comments!B1064='Policy card'!$C$3,Comments!N1064="Closed"),1,0)</f>
        <v>0</v>
      </c>
      <c r="Q1066" s="0" t="n">
        <f aca="false">Q1065+P1066</f>
        <v>7</v>
      </c>
    </row>
    <row r="1067" customFormat="false" ht="15" hidden="false" customHeight="false" outlineLevel="0" collapsed="false">
      <c r="C1067" s="0" t="n">
        <f aca="false">IF(AND(Comments!B1065='Policy card'!$C$3,Comments!N1065="Open"),1,0)</f>
        <v>0</v>
      </c>
      <c r="D1067" s="0" t="str">
        <f aca="false">IF(C1067=1,E1067,IF(P1067=1,$E$2003+Q1067,""))</f>
        <v/>
      </c>
      <c r="E1067" s="0" t="n">
        <f aca="false">E1066+C1067</f>
        <v>0</v>
      </c>
      <c r="P1067" s="0" t="n">
        <f aca="false">IF(AND(Comments!B1065='Policy card'!$C$3,Comments!N1065="Closed"),1,0)</f>
        <v>0</v>
      </c>
      <c r="Q1067" s="0" t="n">
        <f aca="false">Q1066+P1067</f>
        <v>7</v>
      </c>
    </row>
    <row r="1068" customFormat="false" ht="15" hidden="false" customHeight="false" outlineLevel="0" collapsed="false">
      <c r="C1068" s="0" t="n">
        <f aca="false">IF(AND(Comments!B1066='Policy card'!$C$3,Comments!N1066="Open"),1,0)</f>
        <v>0</v>
      </c>
      <c r="D1068" s="0" t="str">
        <f aca="false">IF(C1068=1,E1068,IF(P1068=1,$E$2003+Q1068,""))</f>
        <v/>
      </c>
      <c r="E1068" s="0" t="n">
        <f aca="false">E1067+C1068</f>
        <v>0</v>
      </c>
      <c r="P1068" s="0" t="n">
        <f aca="false">IF(AND(Comments!B1066='Policy card'!$C$3,Comments!N1066="Closed"),1,0)</f>
        <v>0</v>
      </c>
      <c r="Q1068" s="0" t="n">
        <f aca="false">Q1067+P1068</f>
        <v>7</v>
      </c>
    </row>
    <row r="1069" customFormat="false" ht="15" hidden="false" customHeight="false" outlineLevel="0" collapsed="false">
      <c r="C1069" s="0" t="n">
        <f aca="false">IF(AND(Comments!B1067='Policy card'!$C$3,Comments!N1067="Open"),1,0)</f>
        <v>0</v>
      </c>
      <c r="D1069" s="0" t="str">
        <f aca="false">IF(C1069=1,E1069,IF(P1069=1,$E$2003+Q1069,""))</f>
        <v/>
      </c>
      <c r="E1069" s="0" t="n">
        <f aca="false">E1068+C1069</f>
        <v>0</v>
      </c>
      <c r="P1069" s="0" t="n">
        <f aca="false">IF(AND(Comments!B1067='Policy card'!$C$3,Comments!N1067="Closed"),1,0)</f>
        <v>0</v>
      </c>
      <c r="Q1069" s="0" t="n">
        <f aca="false">Q1068+P1069</f>
        <v>7</v>
      </c>
    </row>
    <row r="1070" customFormat="false" ht="15" hidden="false" customHeight="false" outlineLevel="0" collapsed="false">
      <c r="C1070" s="0" t="n">
        <f aca="false">IF(AND(Comments!B1068='Policy card'!$C$3,Comments!N1068="Open"),1,0)</f>
        <v>0</v>
      </c>
      <c r="D1070" s="0" t="str">
        <f aca="false">IF(C1070=1,E1070,IF(P1070=1,$E$2003+Q1070,""))</f>
        <v/>
      </c>
      <c r="E1070" s="0" t="n">
        <f aca="false">E1069+C1070</f>
        <v>0</v>
      </c>
      <c r="P1070" s="0" t="n">
        <f aca="false">IF(AND(Comments!B1068='Policy card'!$C$3,Comments!N1068="Closed"),1,0)</f>
        <v>0</v>
      </c>
      <c r="Q1070" s="0" t="n">
        <f aca="false">Q1069+P1070</f>
        <v>7</v>
      </c>
    </row>
    <row r="1071" customFormat="false" ht="15" hidden="false" customHeight="false" outlineLevel="0" collapsed="false">
      <c r="C1071" s="0" t="n">
        <f aca="false">IF(AND(Comments!B1069='Policy card'!$C$3,Comments!N1069="Open"),1,0)</f>
        <v>0</v>
      </c>
      <c r="D1071" s="0" t="str">
        <f aca="false">IF(C1071=1,E1071,IF(P1071=1,$E$2003+Q1071,""))</f>
        <v/>
      </c>
      <c r="E1071" s="0" t="n">
        <f aca="false">E1070+C1071</f>
        <v>0</v>
      </c>
      <c r="P1071" s="0" t="n">
        <f aca="false">IF(AND(Comments!B1069='Policy card'!$C$3,Comments!N1069="Closed"),1,0)</f>
        <v>0</v>
      </c>
      <c r="Q1071" s="0" t="n">
        <f aca="false">Q1070+P1071</f>
        <v>7</v>
      </c>
    </row>
    <row r="1072" customFormat="false" ht="15" hidden="false" customHeight="false" outlineLevel="0" collapsed="false">
      <c r="C1072" s="0" t="n">
        <f aca="false">IF(AND(Comments!B1070='Policy card'!$C$3,Comments!N1070="Open"),1,0)</f>
        <v>0</v>
      </c>
      <c r="D1072" s="0" t="str">
        <f aca="false">IF(C1072=1,E1072,IF(P1072=1,$E$2003+Q1072,""))</f>
        <v/>
      </c>
      <c r="E1072" s="0" t="n">
        <f aca="false">E1071+C1072</f>
        <v>0</v>
      </c>
      <c r="P1072" s="0" t="n">
        <f aca="false">IF(AND(Comments!B1070='Policy card'!$C$3,Comments!N1070="Closed"),1,0)</f>
        <v>0</v>
      </c>
      <c r="Q1072" s="0" t="n">
        <f aca="false">Q1071+P1072</f>
        <v>7</v>
      </c>
    </row>
    <row r="1073" customFormat="false" ht="15" hidden="false" customHeight="false" outlineLevel="0" collapsed="false">
      <c r="C1073" s="0" t="n">
        <f aca="false">IF(AND(Comments!B1071='Policy card'!$C$3,Comments!N1071="Open"),1,0)</f>
        <v>0</v>
      </c>
      <c r="D1073" s="0" t="str">
        <f aca="false">IF(C1073=1,E1073,IF(P1073=1,$E$2003+Q1073,""))</f>
        <v/>
      </c>
      <c r="E1073" s="0" t="n">
        <f aca="false">E1072+C1073</f>
        <v>0</v>
      </c>
      <c r="P1073" s="0" t="n">
        <f aca="false">IF(AND(Comments!B1071='Policy card'!$C$3,Comments!N1071="Closed"),1,0)</f>
        <v>0</v>
      </c>
      <c r="Q1073" s="0" t="n">
        <f aca="false">Q1072+P1073</f>
        <v>7</v>
      </c>
    </row>
    <row r="1074" customFormat="false" ht="15" hidden="false" customHeight="false" outlineLevel="0" collapsed="false">
      <c r="C1074" s="0" t="n">
        <f aca="false">IF(AND(Comments!B1072='Policy card'!$C$3,Comments!N1072="Open"),1,0)</f>
        <v>0</v>
      </c>
      <c r="D1074" s="0" t="str">
        <f aca="false">IF(C1074=1,E1074,IF(P1074=1,$E$2003+Q1074,""))</f>
        <v/>
      </c>
      <c r="E1074" s="0" t="n">
        <f aca="false">E1073+C1074</f>
        <v>0</v>
      </c>
      <c r="P1074" s="0" t="n">
        <f aca="false">IF(AND(Comments!B1072='Policy card'!$C$3,Comments!N1072="Closed"),1,0)</f>
        <v>0</v>
      </c>
      <c r="Q1074" s="0" t="n">
        <f aca="false">Q1073+P1074</f>
        <v>7</v>
      </c>
    </row>
    <row r="1075" customFormat="false" ht="15" hidden="false" customHeight="false" outlineLevel="0" collapsed="false">
      <c r="C1075" s="0" t="n">
        <f aca="false">IF(AND(Comments!B1073='Policy card'!$C$3,Comments!N1073="Open"),1,0)</f>
        <v>0</v>
      </c>
      <c r="D1075" s="0" t="str">
        <f aca="false">IF(C1075=1,E1075,IF(P1075=1,$E$2003+Q1075,""))</f>
        <v/>
      </c>
      <c r="E1075" s="0" t="n">
        <f aca="false">E1074+C1075</f>
        <v>0</v>
      </c>
      <c r="P1075" s="0" t="n">
        <f aca="false">IF(AND(Comments!B1073='Policy card'!$C$3,Comments!N1073="Closed"),1,0)</f>
        <v>0</v>
      </c>
      <c r="Q1075" s="0" t="n">
        <f aca="false">Q1074+P1075</f>
        <v>7</v>
      </c>
    </row>
    <row r="1076" customFormat="false" ht="15" hidden="false" customHeight="false" outlineLevel="0" collapsed="false">
      <c r="C1076" s="0" t="n">
        <f aca="false">IF(AND(Comments!B1074='Policy card'!$C$3,Comments!N1074="Open"),1,0)</f>
        <v>0</v>
      </c>
      <c r="D1076" s="0" t="str">
        <f aca="false">IF(C1076=1,E1076,IF(P1076=1,$E$2003+Q1076,""))</f>
        <v/>
      </c>
      <c r="E1076" s="0" t="n">
        <f aca="false">E1075+C1076</f>
        <v>0</v>
      </c>
      <c r="P1076" s="0" t="n">
        <f aca="false">IF(AND(Comments!B1074='Policy card'!$C$3,Comments!N1074="Closed"),1,0)</f>
        <v>0</v>
      </c>
      <c r="Q1076" s="0" t="n">
        <f aca="false">Q1075+P1076</f>
        <v>7</v>
      </c>
    </row>
    <row r="1077" customFormat="false" ht="15" hidden="false" customHeight="false" outlineLevel="0" collapsed="false">
      <c r="C1077" s="0" t="n">
        <f aca="false">IF(AND(Comments!B1075='Policy card'!$C$3,Comments!N1075="Open"),1,0)</f>
        <v>0</v>
      </c>
      <c r="D1077" s="0" t="str">
        <f aca="false">IF(C1077=1,E1077,IF(P1077=1,$E$2003+Q1077,""))</f>
        <v/>
      </c>
      <c r="E1077" s="0" t="n">
        <f aca="false">E1076+C1077</f>
        <v>0</v>
      </c>
      <c r="P1077" s="0" t="n">
        <f aca="false">IF(AND(Comments!B1075='Policy card'!$C$3,Comments!N1075="Closed"),1,0)</f>
        <v>0</v>
      </c>
      <c r="Q1077" s="0" t="n">
        <f aca="false">Q1076+P1077</f>
        <v>7</v>
      </c>
    </row>
    <row r="1078" customFormat="false" ht="15" hidden="false" customHeight="false" outlineLevel="0" collapsed="false">
      <c r="C1078" s="0" t="n">
        <f aca="false">IF(AND(Comments!B1076='Policy card'!$C$3,Comments!N1076="Open"),1,0)</f>
        <v>0</v>
      </c>
      <c r="D1078" s="0" t="str">
        <f aca="false">IF(C1078=1,E1078,IF(P1078=1,$E$2003+Q1078,""))</f>
        <v/>
      </c>
      <c r="E1078" s="0" t="n">
        <f aca="false">E1077+C1078</f>
        <v>0</v>
      </c>
      <c r="P1078" s="0" t="n">
        <f aca="false">IF(AND(Comments!B1076='Policy card'!$C$3,Comments!N1076="Closed"),1,0)</f>
        <v>0</v>
      </c>
      <c r="Q1078" s="0" t="n">
        <f aca="false">Q1077+P1078</f>
        <v>7</v>
      </c>
    </row>
    <row r="1079" customFormat="false" ht="15" hidden="false" customHeight="false" outlineLevel="0" collapsed="false">
      <c r="C1079" s="0" t="n">
        <f aca="false">IF(AND(Comments!B1077='Policy card'!$C$3,Comments!N1077="Open"),1,0)</f>
        <v>0</v>
      </c>
      <c r="D1079" s="0" t="str">
        <f aca="false">IF(C1079=1,E1079,IF(P1079=1,$E$2003+Q1079,""))</f>
        <v/>
      </c>
      <c r="E1079" s="0" t="n">
        <f aca="false">E1078+C1079</f>
        <v>0</v>
      </c>
      <c r="P1079" s="0" t="n">
        <f aca="false">IF(AND(Comments!B1077='Policy card'!$C$3,Comments!N1077="Closed"),1,0)</f>
        <v>0</v>
      </c>
      <c r="Q1079" s="0" t="n">
        <f aca="false">Q1078+P1079</f>
        <v>7</v>
      </c>
    </row>
    <row r="1080" customFormat="false" ht="15" hidden="false" customHeight="false" outlineLevel="0" collapsed="false">
      <c r="C1080" s="0" t="n">
        <f aca="false">IF(AND(Comments!B1078='Policy card'!$C$3,Comments!N1078="Open"),1,0)</f>
        <v>0</v>
      </c>
      <c r="D1080" s="0" t="str">
        <f aca="false">IF(C1080=1,E1080,IF(P1080=1,$E$2003+Q1080,""))</f>
        <v/>
      </c>
      <c r="E1080" s="0" t="n">
        <f aca="false">E1079+C1080</f>
        <v>0</v>
      </c>
      <c r="P1080" s="0" t="n">
        <f aca="false">IF(AND(Comments!B1078='Policy card'!$C$3,Comments!N1078="Closed"),1,0)</f>
        <v>0</v>
      </c>
      <c r="Q1080" s="0" t="n">
        <f aca="false">Q1079+P1080</f>
        <v>7</v>
      </c>
    </row>
    <row r="1081" customFormat="false" ht="15" hidden="false" customHeight="false" outlineLevel="0" collapsed="false">
      <c r="C1081" s="0" t="n">
        <f aca="false">IF(AND(Comments!B1079='Policy card'!$C$3,Comments!N1079="Open"),1,0)</f>
        <v>0</v>
      </c>
      <c r="D1081" s="0" t="str">
        <f aca="false">IF(C1081=1,E1081,IF(P1081=1,$E$2003+Q1081,""))</f>
        <v/>
      </c>
      <c r="E1081" s="0" t="n">
        <f aca="false">E1080+C1081</f>
        <v>0</v>
      </c>
      <c r="P1081" s="0" t="n">
        <f aca="false">IF(AND(Comments!B1079='Policy card'!$C$3,Comments!N1079="Closed"),1,0)</f>
        <v>0</v>
      </c>
      <c r="Q1081" s="0" t="n">
        <f aca="false">Q1080+P1081</f>
        <v>7</v>
      </c>
    </row>
    <row r="1082" customFormat="false" ht="15" hidden="false" customHeight="false" outlineLevel="0" collapsed="false">
      <c r="C1082" s="0" t="n">
        <f aca="false">IF(AND(Comments!B1080='Policy card'!$C$3,Comments!N1080="Open"),1,0)</f>
        <v>0</v>
      </c>
      <c r="D1082" s="0" t="str">
        <f aca="false">IF(C1082=1,E1082,IF(P1082=1,$E$2003+Q1082,""))</f>
        <v/>
      </c>
      <c r="E1082" s="0" t="n">
        <f aca="false">E1081+C1082</f>
        <v>0</v>
      </c>
      <c r="P1082" s="0" t="n">
        <f aca="false">IF(AND(Comments!B1080='Policy card'!$C$3,Comments!N1080="Closed"),1,0)</f>
        <v>0</v>
      </c>
      <c r="Q1082" s="0" t="n">
        <f aca="false">Q1081+P1082</f>
        <v>7</v>
      </c>
    </row>
    <row r="1083" customFormat="false" ht="15" hidden="false" customHeight="false" outlineLevel="0" collapsed="false">
      <c r="C1083" s="0" t="n">
        <f aca="false">IF(AND(Comments!B1081='Policy card'!$C$3,Comments!N1081="Open"),1,0)</f>
        <v>0</v>
      </c>
      <c r="D1083" s="0" t="str">
        <f aca="false">IF(C1083=1,E1083,IF(P1083=1,$E$2003+Q1083,""))</f>
        <v/>
      </c>
      <c r="E1083" s="0" t="n">
        <f aca="false">E1082+C1083</f>
        <v>0</v>
      </c>
      <c r="P1083" s="0" t="n">
        <f aca="false">IF(AND(Comments!B1081='Policy card'!$C$3,Comments!N1081="Closed"),1,0)</f>
        <v>0</v>
      </c>
      <c r="Q1083" s="0" t="n">
        <f aca="false">Q1082+P1083</f>
        <v>7</v>
      </c>
    </row>
    <row r="1084" customFormat="false" ht="15" hidden="false" customHeight="false" outlineLevel="0" collapsed="false">
      <c r="C1084" s="0" t="n">
        <f aca="false">IF(AND(Comments!B1082='Policy card'!$C$3,Comments!N1082="Open"),1,0)</f>
        <v>0</v>
      </c>
      <c r="D1084" s="0" t="str">
        <f aca="false">IF(C1084=1,E1084,IF(P1084=1,$E$2003+Q1084,""))</f>
        <v/>
      </c>
      <c r="E1084" s="0" t="n">
        <f aca="false">E1083+C1084</f>
        <v>0</v>
      </c>
      <c r="P1084" s="0" t="n">
        <f aca="false">IF(AND(Comments!B1082='Policy card'!$C$3,Comments!N1082="Closed"),1,0)</f>
        <v>0</v>
      </c>
      <c r="Q1084" s="0" t="n">
        <f aca="false">Q1083+P1084</f>
        <v>7</v>
      </c>
    </row>
    <row r="1085" customFormat="false" ht="15" hidden="false" customHeight="false" outlineLevel="0" collapsed="false">
      <c r="C1085" s="0" t="n">
        <f aca="false">IF(AND(Comments!B1083='Policy card'!$C$3,Comments!N1083="Open"),1,0)</f>
        <v>0</v>
      </c>
      <c r="D1085" s="0" t="str">
        <f aca="false">IF(C1085=1,E1085,IF(P1085=1,$E$2003+Q1085,""))</f>
        <v/>
      </c>
      <c r="E1085" s="0" t="n">
        <f aca="false">E1084+C1085</f>
        <v>0</v>
      </c>
      <c r="P1085" s="0" t="n">
        <f aca="false">IF(AND(Comments!B1083='Policy card'!$C$3,Comments!N1083="Closed"),1,0)</f>
        <v>0</v>
      </c>
      <c r="Q1085" s="0" t="n">
        <f aca="false">Q1084+P1085</f>
        <v>7</v>
      </c>
    </row>
    <row r="1086" customFormat="false" ht="15" hidden="false" customHeight="false" outlineLevel="0" collapsed="false">
      <c r="C1086" s="0" t="n">
        <f aca="false">IF(AND(Comments!B1084='Policy card'!$C$3,Comments!N1084="Open"),1,0)</f>
        <v>0</v>
      </c>
      <c r="D1086" s="0" t="str">
        <f aca="false">IF(C1086=1,E1086,IF(P1086=1,$E$2003+Q1086,""))</f>
        <v/>
      </c>
      <c r="E1086" s="0" t="n">
        <f aca="false">E1085+C1086</f>
        <v>0</v>
      </c>
      <c r="P1086" s="0" t="n">
        <f aca="false">IF(AND(Comments!B1084='Policy card'!$C$3,Comments!N1084="Closed"),1,0)</f>
        <v>0</v>
      </c>
      <c r="Q1086" s="0" t="n">
        <f aca="false">Q1085+P1086</f>
        <v>7</v>
      </c>
    </row>
    <row r="1087" customFormat="false" ht="15" hidden="false" customHeight="false" outlineLevel="0" collapsed="false">
      <c r="C1087" s="0" t="n">
        <f aca="false">IF(AND(Comments!B1085='Policy card'!$C$3,Comments!N1085="Open"),1,0)</f>
        <v>0</v>
      </c>
      <c r="D1087" s="0" t="str">
        <f aca="false">IF(C1087=1,E1087,IF(P1087=1,$E$2003+Q1087,""))</f>
        <v/>
      </c>
      <c r="E1087" s="0" t="n">
        <f aca="false">E1086+C1087</f>
        <v>0</v>
      </c>
      <c r="P1087" s="0" t="n">
        <f aca="false">IF(AND(Comments!B1085='Policy card'!$C$3,Comments!N1085="Closed"),1,0)</f>
        <v>0</v>
      </c>
      <c r="Q1087" s="0" t="n">
        <f aca="false">Q1086+P1087</f>
        <v>7</v>
      </c>
    </row>
    <row r="1088" customFormat="false" ht="15" hidden="false" customHeight="false" outlineLevel="0" collapsed="false">
      <c r="C1088" s="0" t="n">
        <f aca="false">IF(AND(Comments!B1086='Policy card'!$C$3,Comments!N1086="Open"),1,0)</f>
        <v>0</v>
      </c>
      <c r="D1088" s="0" t="str">
        <f aca="false">IF(C1088=1,E1088,IF(P1088=1,$E$2003+Q1088,""))</f>
        <v/>
      </c>
      <c r="E1088" s="0" t="n">
        <f aca="false">E1087+C1088</f>
        <v>0</v>
      </c>
      <c r="P1088" s="0" t="n">
        <f aca="false">IF(AND(Comments!B1086='Policy card'!$C$3,Comments!N1086="Closed"),1,0)</f>
        <v>0</v>
      </c>
      <c r="Q1088" s="0" t="n">
        <f aca="false">Q1087+P1088</f>
        <v>7</v>
      </c>
    </row>
    <row r="1089" customFormat="false" ht="15" hidden="false" customHeight="false" outlineLevel="0" collapsed="false">
      <c r="C1089" s="0" t="n">
        <f aca="false">IF(AND(Comments!B1087='Policy card'!$C$3,Comments!N1087="Open"),1,0)</f>
        <v>0</v>
      </c>
      <c r="D1089" s="0" t="str">
        <f aca="false">IF(C1089=1,E1089,IF(P1089=1,$E$2003+Q1089,""))</f>
        <v/>
      </c>
      <c r="E1089" s="0" t="n">
        <f aca="false">E1088+C1089</f>
        <v>0</v>
      </c>
      <c r="P1089" s="0" t="n">
        <f aca="false">IF(AND(Comments!B1087='Policy card'!$C$3,Comments!N1087="Closed"),1,0)</f>
        <v>0</v>
      </c>
      <c r="Q1089" s="0" t="n">
        <f aca="false">Q1088+P1089</f>
        <v>7</v>
      </c>
    </row>
    <row r="1090" customFormat="false" ht="15" hidden="false" customHeight="false" outlineLevel="0" collapsed="false">
      <c r="C1090" s="0" t="n">
        <f aca="false">IF(AND(Comments!B1088='Policy card'!$C$3,Comments!N1088="Open"),1,0)</f>
        <v>0</v>
      </c>
      <c r="D1090" s="0" t="str">
        <f aca="false">IF(C1090=1,E1090,IF(P1090=1,$E$2003+Q1090,""))</f>
        <v/>
      </c>
      <c r="E1090" s="0" t="n">
        <f aca="false">E1089+C1090</f>
        <v>0</v>
      </c>
      <c r="P1090" s="0" t="n">
        <f aca="false">IF(AND(Comments!B1088='Policy card'!$C$3,Comments!N1088="Closed"),1,0)</f>
        <v>0</v>
      </c>
      <c r="Q1090" s="0" t="n">
        <f aca="false">Q1089+P1090</f>
        <v>7</v>
      </c>
    </row>
    <row r="1091" customFormat="false" ht="15" hidden="false" customHeight="false" outlineLevel="0" collapsed="false">
      <c r="C1091" s="0" t="n">
        <f aca="false">IF(AND(Comments!B1089='Policy card'!$C$3,Comments!N1089="Open"),1,0)</f>
        <v>0</v>
      </c>
      <c r="D1091" s="0" t="str">
        <f aca="false">IF(C1091=1,E1091,IF(P1091=1,$E$2003+Q1091,""))</f>
        <v/>
      </c>
      <c r="E1091" s="0" t="n">
        <f aca="false">E1090+C1091</f>
        <v>0</v>
      </c>
      <c r="P1091" s="0" t="n">
        <f aca="false">IF(AND(Comments!B1089='Policy card'!$C$3,Comments!N1089="Closed"),1,0)</f>
        <v>0</v>
      </c>
      <c r="Q1091" s="0" t="n">
        <f aca="false">Q1090+P1091</f>
        <v>7</v>
      </c>
    </row>
    <row r="1092" customFormat="false" ht="15" hidden="false" customHeight="false" outlineLevel="0" collapsed="false">
      <c r="C1092" s="0" t="n">
        <f aca="false">IF(AND(Comments!B1090='Policy card'!$C$3,Comments!N1090="Open"),1,0)</f>
        <v>0</v>
      </c>
      <c r="D1092" s="0" t="str">
        <f aca="false">IF(C1092=1,E1092,IF(P1092=1,$E$2003+Q1092,""))</f>
        <v/>
      </c>
      <c r="E1092" s="0" t="n">
        <f aca="false">E1091+C1092</f>
        <v>0</v>
      </c>
      <c r="P1092" s="0" t="n">
        <f aca="false">IF(AND(Comments!B1090='Policy card'!$C$3,Comments!N1090="Closed"),1,0)</f>
        <v>0</v>
      </c>
      <c r="Q1092" s="0" t="n">
        <f aca="false">Q1091+P1092</f>
        <v>7</v>
      </c>
    </row>
    <row r="1093" customFormat="false" ht="15" hidden="false" customHeight="false" outlineLevel="0" collapsed="false">
      <c r="C1093" s="0" t="n">
        <f aca="false">IF(AND(Comments!B1091='Policy card'!$C$3,Comments!N1091="Open"),1,0)</f>
        <v>0</v>
      </c>
      <c r="D1093" s="0" t="str">
        <f aca="false">IF(C1093=1,E1093,IF(P1093=1,$E$2003+Q1093,""))</f>
        <v/>
      </c>
      <c r="E1093" s="0" t="n">
        <f aca="false">E1092+C1093</f>
        <v>0</v>
      </c>
      <c r="P1093" s="0" t="n">
        <f aca="false">IF(AND(Comments!B1091='Policy card'!$C$3,Comments!N1091="Closed"),1,0)</f>
        <v>0</v>
      </c>
      <c r="Q1093" s="0" t="n">
        <f aca="false">Q1092+P1093</f>
        <v>7</v>
      </c>
    </row>
    <row r="1094" customFormat="false" ht="15" hidden="false" customHeight="false" outlineLevel="0" collapsed="false">
      <c r="C1094" s="0" t="n">
        <f aca="false">IF(AND(Comments!B1092='Policy card'!$C$3,Comments!N1092="Open"),1,0)</f>
        <v>0</v>
      </c>
      <c r="D1094" s="0" t="str">
        <f aca="false">IF(C1094=1,E1094,IF(P1094=1,$E$2003+Q1094,""))</f>
        <v/>
      </c>
      <c r="E1094" s="0" t="n">
        <f aca="false">E1093+C1094</f>
        <v>0</v>
      </c>
      <c r="P1094" s="0" t="n">
        <f aca="false">IF(AND(Comments!B1092='Policy card'!$C$3,Comments!N1092="Closed"),1,0)</f>
        <v>0</v>
      </c>
      <c r="Q1094" s="0" t="n">
        <f aca="false">Q1093+P1094</f>
        <v>7</v>
      </c>
    </row>
    <row r="1095" customFormat="false" ht="15" hidden="false" customHeight="false" outlineLevel="0" collapsed="false">
      <c r="C1095" s="0" t="n">
        <f aca="false">IF(AND(Comments!B1093='Policy card'!$C$3,Comments!N1093="Open"),1,0)</f>
        <v>0</v>
      </c>
      <c r="D1095" s="0" t="str">
        <f aca="false">IF(C1095=1,E1095,IF(P1095=1,$E$2003+Q1095,""))</f>
        <v/>
      </c>
      <c r="E1095" s="0" t="n">
        <f aca="false">E1094+C1095</f>
        <v>0</v>
      </c>
      <c r="P1095" s="0" t="n">
        <f aca="false">IF(AND(Comments!B1093='Policy card'!$C$3,Comments!N1093="Closed"),1,0)</f>
        <v>0</v>
      </c>
      <c r="Q1095" s="0" t="n">
        <f aca="false">Q1094+P1095</f>
        <v>7</v>
      </c>
    </row>
    <row r="1096" customFormat="false" ht="15" hidden="false" customHeight="false" outlineLevel="0" collapsed="false">
      <c r="C1096" s="0" t="n">
        <f aca="false">IF(AND(Comments!B1094='Policy card'!$C$3,Comments!N1094="Open"),1,0)</f>
        <v>0</v>
      </c>
      <c r="D1096" s="0" t="str">
        <f aca="false">IF(C1096=1,E1096,IF(P1096=1,$E$2003+Q1096,""))</f>
        <v/>
      </c>
      <c r="E1096" s="0" t="n">
        <f aca="false">E1095+C1096</f>
        <v>0</v>
      </c>
      <c r="P1096" s="0" t="n">
        <f aca="false">IF(AND(Comments!B1094='Policy card'!$C$3,Comments!N1094="Closed"),1,0)</f>
        <v>0</v>
      </c>
      <c r="Q1096" s="0" t="n">
        <f aca="false">Q1095+P1096</f>
        <v>7</v>
      </c>
    </row>
    <row r="1097" customFormat="false" ht="15" hidden="false" customHeight="false" outlineLevel="0" collapsed="false">
      <c r="C1097" s="0" t="n">
        <f aca="false">IF(AND(Comments!B1095='Policy card'!$C$3,Comments!N1095="Open"),1,0)</f>
        <v>0</v>
      </c>
      <c r="D1097" s="0" t="str">
        <f aca="false">IF(C1097=1,E1097,IF(P1097=1,$E$2003+Q1097,""))</f>
        <v/>
      </c>
      <c r="E1097" s="0" t="n">
        <f aca="false">E1096+C1097</f>
        <v>0</v>
      </c>
      <c r="P1097" s="0" t="n">
        <f aca="false">IF(AND(Comments!B1095='Policy card'!$C$3,Comments!N1095="Closed"),1,0)</f>
        <v>0</v>
      </c>
      <c r="Q1097" s="0" t="n">
        <f aca="false">Q1096+P1097</f>
        <v>7</v>
      </c>
    </row>
    <row r="1098" customFormat="false" ht="15" hidden="false" customHeight="false" outlineLevel="0" collapsed="false">
      <c r="C1098" s="0" t="n">
        <f aca="false">IF(AND(Comments!B1096='Policy card'!$C$3,Comments!N1096="Open"),1,0)</f>
        <v>0</v>
      </c>
      <c r="D1098" s="0" t="str">
        <f aca="false">IF(C1098=1,E1098,IF(P1098=1,$E$2003+Q1098,""))</f>
        <v/>
      </c>
      <c r="E1098" s="0" t="n">
        <f aca="false">E1097+C1098</f>
        <v>0</v>
      </c>
      <c r="P1098" s="0" t="n">
        <f aca="false">IF(AND(Comments!B1096='Policy card'!$C$3,Comments!N1096="Closed"),1,0)</f>
        <v>0</v>
      </c>
      <c r="Q1098" s="0" t="n">
        <f aca="false">Q1097+P1098</f>
        <v>7</v>
      </c>
    </row>
    <row r="1099" customFormat="false" ht="15" hidden="false" customHeight="false" outlineLevel="0" collapsed="false">
      <c r="C1099" s="0" t="n">
        <f aca="false">IF(AND(Comments!B1097='Policy card'!$C$3,Comments!N1097="Open"),1,0)</f>
        <v>0</v>
      </c>
      <c r="D1099" s="0" t="str">
        <f aca="false">IF(C1099=1,E1099,IF(P1099=1,$E$2003+Q1099,""))</f>
        <v/>
      </c>
      <c r="E1099" s="0" t="n">
        <f aca="false">E1098+C1099</f>
        <v>0</v>
      </c>
      <c r="P1099" s="0" t="n">
        <f aca="false">IF(AND(Comments!B1097='Policy card'!$C$3,Comments!N1097="Closed"),1,0)</f>
        <v>0</v>
      </c>
      <c r="Q1099" s="0" t="n">
        <f aca="false">Q1098+P1099</f>
        <v>7</v>
      </c>
    </row>
    <row r="1100" customFormat="false" ht="15" hidden="false" customHeight="false" outlineLevel="0" collapsed="false">
      <c r="C1100" s="0" t="n">
        <f aca="false">IF(AND(Comments!B1098='Policy card'!$C$3,Comments!N1098="Open"),1,0)</f>
        <v>0</v>
      </c>
      <c r="D1100" s="0" t="str">
        <f aca="false">IF(C1100=1,E1100,IF(P1100=1,$E$2003+Q1100,""))</f>
        <v/>
      </c>
      <c r="E1100" s="0" t="n">
        <f aca="false">E1099+C1100</f>
        <v>0</v>
      </c>
      <c r="P1100" s="0" t="n">
        <f aca="false">IF(AND(Comments!B1098='Policy card'!$C$3,Comments!N1098="Closed"),1,0)</f>
        <v>0</v>
      </c>
      <c r="Q1100" s="0" t="n">
        <f aca="false">Q1099+P1100</f>
        <v>7</v>
      </c>
    </row>
    <row r="1101" customFormat="false" ht="15" hidden="false" customHeight="false" outlineLevel="0" collapsed="false">
      <c r="C1101" s="0" t="n">
        <f aca="false">IF(AND(Comments!B1099='Policy card'!$C$3,Comments!N1099="Open"),1,0)</f>
        <v>0</v>
      </c>
      <c r="D1101" s="0" t="str">
        <f aca="false">IF(C1101=1,E1101,IF(P1101=1,$E$2003+Q1101,""))</f>
        <v/>
      </c>
      <c r="E1101" s="0" t="n">
        <f aca="false">E1100+C1101</f>
        <v>0</v>
      </c>
      <c r="P1101" s="0" t="n">
        <f aca="false">IF(AND(Comments!B1099='Policy card'!$C$3,Comments!N1099="Closed"),1,0)</f>
        <v>0</v>
      </c>
      <c r="Q1101" s="0" t="n">
        <f aca="false">Q1100+P1101</f>
        <v>7</v>
      </c>
    </row>
    <row r="1102" customFormat="false" ht="15" hidden="false" customHeight="false" outlineLevel="0" collapsed="false">
      <c r="C1102" s="0" t="n">
        <f aca="false">IF(AND(Comments!B1100='Policy card'!$C$3,Comments!N1100="Open"),1,0)</f>
        <v>0</v>
      </c>
      <c r="D1102" s="0" t="str">
        <f aca="false">IF(C1102=1,E1102,IF(P1102=1,$E$2003+Q1102,""))</f>
        <v/>
      </c>
      <c r="E1102" s="0" t="n">
        <f aca="false">E1101+C1102</f>
        <v>0</v>
      </c>
      <c r="P1102" s="0" t="n">
        <f aca="false">IF(AND(Comments!B1100='Policy card'!$C$3,Comments!N1100="Closed"),1,0)</f>
        <v>0</v>
      </c>
      <c r="Q1102" s="0" t="n">
        <f aca="false">Q1101+P1102</f>
        <v>7</v>
      </c>
    </row>
    <row r="1103" customFormat="false" ht="15" hidden="false" customHeight="false" outlineLevel="0" collapsed="false">
      <c r="C1103" s="0" t="n">
        <f aca="false">IF(AND(Comments!B1101='Policy card'!$C$3,Comments!N1101="Open"),1,0)</f>
        <v>0</v>
      </c>
      <c r="D1103" s="0" t="str">
        <f aca="false">IF(C1103=1,E1103,IF(P1103=1,$E$2003+Q1103,""))</f>
        <v/>
      </c>
      <c r="E1103" s="0" t="n">
        <f aca="false">E1102+C1103</f>
        <v>0</v>
      </c>
      <c r="P1103" s="0" t="n">
        <f aca="false">IF(AND(Comments!B1101='Policy card'!$C$3,Comments!N1101="Closed"),1,0)</f>
        <v>0</v>
      </c>
      <c r="Q1103" s="0" t="n">
        <f aca="false">Q1102+P1103</f>
        <v>7</v>
      </c>
    </row>
    <row r="1104" customFormat="false" ht="15" hidden="false" customHeight="false" outlineLevel="0" collapsed="false">
      <c r="C1104" s="0" t="n">
        <f aca="false">IF(AND(Comments!B1102='Policy card'!$C$3,Comments!N1102="Open"),1,0)</f>
        <v>0</v>
      </c>
      <c r="D1104" s="0" t="str">
        <f aca="false">IF(C1104=1,E1104,IF(P1104=1,$E$2003+Q1104,""))</f>
        <v/>
      </c>
      <c r="E1104" s="0" t="n">
        <f aca="false">E1103+C1104</f>
        <v>0</v>
      </c>
      <c r="P1104" s="0" t="n">
        <f aca="false">IF(AND(Comments!B1102='Policy card'!$C$3,Comments!N1102="Closed"),1,0)</f>
        <v>0</v>
      </c>
      <c r="Q1104" s="0" t="n">
        <f aca="false">Q1103+P1104</f>
        <v>7</v>
      </c>
    </row>
    <row r="1105" customFormat="false" ht="15" hidden="false" customHeight="false" outlineLevel="0" collapsed="false">
      <c r="C1105" s="0" t="n">
        <f aca="false">IF(AND(Comments!B1103='Policy card'!$C$3,Comments!N1103="Open"),1,0)</f>
        <v>0</v>
      </c>
      <c r="D1105" s="0" t="str">
        <f aca="false">IF(C1105=1,E1105,IF(P1105=1,$E$2003+Q1105,""))</f>
        <v/>
      </c>
      <c r="E1105" s="0" t="n">
        <f aca="false">E1104+C1105</f>
        <v>0</v>
      </c>
      <c r="P1105" s="0" t="n">
        <f aca="false">IF(AND(Comments!B1103='Policy card'!$C$3,Comments!N1103="Closed"),1,0)</f>
        <v>0</v>
      </c>
      <c r="Q1105" s="0" t="n">
        <f aca="false">Q1104+P1105</f>
        <v>7</v>
      </c>
    </row>
    <row r="1106" customFormat="false" ht="15" hidden="false" customHeight="false" outlineLevel="0" collapsed="false">
      <c r="C1106" s="0" t="n">
        <f aca="false">IF(AND(Comments!B1104='Policy card'!$C$3,Comments!N1104="Open"),1,0)</f>
        <v>0</v>
      </c>
      <c r="D1106" s="0" t="str">
        <f aca="false">IF(C1106=1,E1106,IF(P1106=1,$E$2003+Q1106,""))</f>
        <v/>
      </c>
      <c r="E1106" s="0" t="n">
        <f aca="false">E1105+C1106</f>
        <v>0</v>
      </c>
      <c r="P1106" s="0" t="n">
        <f aca="false">IF(AND(Comments!B1104='Policy card'!$C$3,Comments!N1104="Closed"),1,0)</f>
        <v>0</v>
      </c>
      <c r="Q1106" s="0" t="n">
        <f aca="false">Q1105+P1106</f>
        <v>7</v>
      </c>
    </row>
    <row r="1107" customFormat="false" ht="15" hidden="false" customHeight="false" outlineLevel="0" collapsed="false">
      <c r="C1107" s="0" t="n">
        <f aca="false">IF(AND(Comments!B1105='Policy card'!$C$3,Comments!N1105="Open"),1,0)</f>
        <v>0</v>
      </c>
      <c r="D1107" s="0" t="str">
        <f aca="false">IF(C1107=1,E1107,IF(P1107=1,$E$2003+Q1107,""))</f>
        <v/>
      </c>
      <c r="E1107" s="0" t="n">
        <f aca="false">E1106+C1107</f>
        <v>0</v>
      </c>
      <c r="P1107" s="0" t="n">
        <f aca="false">IF(AND(Comments!B1105='Policy card'!$C$3,Comments!N1105="Closed"),1,0)</f>
        <v>0</v>
      </c>
      <c r="Q1107" s="0" t="n">
        <f aca="false">Q1106+P1107</f>
        <v>7</v>
      </c>
    </row>
    <row r="1108" customFormat="false" ht="15" hidden="false" customHeight="false" outlineLevel="0" collapsed="false">
      <c r="C1108" s="0" t="n">
        <f aca="false">IF(AND(Comments!B1106='Policy card'!$C$3,Comments!N1106="Open"),1,0)</f>
        <v>0</v>
      </c>
      <c r="D1108" s="0" t="str">
        <f aca="false">IF(C1108=1,E1108,IF(P1108=1,$E$2003+Q1108,""))</f>
        <v/>
      </c>
      <c r="E1108" s="0" t="n">
        <f aca="false">E1107+C1108</f>
        <v>0</v>
      </c>
      <c r="P1108" s="0" t="n">
        <f aca="false">IF(AND(Comments!B1106='Policy card'!$C$3,Comments!N1106="Closed"),1,0)</f>
        <v>0</v>
      </c>
      <c r="Q1108" s="0" t="n">
        <f aca="false">Q1107+P1108</f>
        <v>7</v>
      </c>
    </row>
    <row r="1109" customFormat="false" ht="15" hidden="false" customHeight="false" outlineLevel="0" collapsed="false">
      <c r="C1109" s="0" t="n">
        <f aca="false">IF(AND(Comments!B1107='Policy card'!$C$3,Comments!N1107="Open"),1,0)</f>
        <v>0</v>
      </c>
      <c r="D1109" s="0" t="str">
        <f aca="false">IF(C1109=1,E1109,IF(P1109=1,$E$2003+Q1109,""))</f>
        <v/>
      </c>
      <c r="E1109" s="0" t="n">
        <f aca="false">E1108+C1109</f>
        <v>0</v>
      </c>
      <c r="P1109" s="0" t="n">
        <f aca="false">IF(AND(Comments!B1107='Policy card'!$C$3,Comments!N1107="Closed"),1,0)</f>
        <v>0</v>
      </c>
      <c r="Q1109" s="0" t="n">
        <f aca="false">Q1108+P1109</f>
        <v>7</v>
      </c>
    </row>
    <row r="1110" customFormat="false" ht="15" hidden="false" customHeight="false" outlineLevel="0" collapsed="false">
      <c r="C1110" s="0" t="n">
        <f aca="false">IF(AND(Comments!B1108='Policy card'!$C$3,Comments!N1108="Open"),1,0)</f>
        <v>0</v>
      </c>
      <c r="D1110" s="0" t="str">
        <f aca="false">IF(C1110=1,E1110,IF(P1110=1,$E$2003+Q1110,""))</f>
        <v/>
      </c>
      <c r="E1110" s="0" t="n">
        <f aca="false">E1109+C1110</f>
        <v>0</v>
      </c>
      <c r="P1110" s="0" t="n">
        <f aca="false">IF(AND(Comments!B1108='Policy card'!$C$3,Comments!N1108="Closed"),1,0)</f>
        <v>0</v>
      </c>
      <c r="Q1110" s="0" t="n">
        <f aca="false">Q1109+P1110</f>
        <v>7</v>
      </c>
    </row>
    <row r="1111" customFormat="false" ht="15" hidden="false" customHeight="false" outlineLevel="0" collapsed="false">
      <c r="C1111" s="0" t="n">
        <f aca="false">IF(AND(Comments!B1109='Policy card'!$C$3,Comments!N1109="Open"),1,0)</f>
        <v>0</v>
      </c>
      <c r="D1111" s="0" t="str">
        <f aca="false">IF(C1111=1,E1111,IF(P1111=1,$E$2003+Q1111,""))</f>
        <v/>
      </c>
      <c r="E1111" s="0" t="n">
        <f aca="false">E1110+C1111</f>
        <v>0</v>
      </c>
      <c r="P1111" s="0" t="n">
        <f aca="false">IF(AND(Comments!B1109='Policy card'!$C$3,Comments!N1109="Closed"),1,0)</f>
        <v>0</v>
      </c>
      <c r="Q1111" s="0" t="n">
        <f aca="false">Q1110+P1111</f>
        <v>7</v>
      </c>
    </row>
    <row r="1112" customFormat="false" ht="15" hidden="false" customHeight="false" outlineLevel="0" collapsed="false">
      <c r="C1112" s="0" t="n">
        <f aca="false">IF(AND(Comments!B1110='Policy card'!$C$3,Comments!N1110="Open"),1,0)</f>
        <v>0</v>
      </c>
      <c r="D1112" s="0" t="str">
        <f aca="false">IF(C1112=1,E1112,IF(P1112=1,$E$2003+Q1112,""))</f>
        <v/>
      </c>
      <c r="E1112" s="0" t="n">
        <f aca="false">E1111+C1112</f>
        <v>0</v>
      </c>
      <c r="P1112" s="0" t="n">
        <f aca="false">IF(AND(Comments!B1110='Policy card'!$C$3,Comments!N1110="Closed"),1,0)</f>
        <v>0</v>
      </c>
      <c r="Q1112" s="0" t="n">
        <f aca="false">Q1111+P1112</f>
        <v>7</v>
      </c>
    </row>
    <row r="1113" customFormat="false" ht="15" hidden="false" customHeight="false" outlineLevel="0" collapsed="false">
      <c r="C1113" s="0" t="n">
        <f aca="false">IF(AND(Comments!B1111='Policy card'!$C$3,Comments!N1111="Open"),1,0)</f>
        <v>0</v>
      </c>
      <c r="D1113" s="0" t="str">
        <f aca="false">IF(C1113=1,E1113,IF(P1113=1,$E$2003+Q1113,""))</f>
        <v/>
      </c>
      <c r="E1113" s="0" t="n">
        <f aca="false">E1112+C1113</f>
        <v>0</v>
      </c>
      <c r="P1113" s="0" t="n">
        <f aca="false">IF(AND(Comments!B1111='Policy card'!$C$3,Comments!N1111="Closed"),1,0)</f>
        <v>0</v>
      </c>
      <c r="Q1113" s="0" t="n">
        <f aca="false">Q1112+P1113</f>
        <v>7</v>
      </c>
    </row>
    <row r="1114" customFormat="false" ht="15" hidden="false" customHeight="false" outlineLevel="0" collapsed="false">
      <c r="C1114" s="0" t="n">
        <f aca="false">IF(AND(Comments!B1112='Policy card'!$C$3,Comments!N1112="Open"),1,0)</f>
        <v>0</v>
      </c>
      <c r="D1114" s="0" t="str">
        <f aca="false">IF(C1114=1,E1114,IF(P1114=1,$E$2003+Q1114,""))</f>
        <v/>
      </c>
      <c r="E1114" s="0" t="n">
        <f aca="false">E1113+C1114</f>
        <v>0</v>
      </c>
      <c r="P1114" s="0" t="n">
        <f aca="false">IF(AND(Comments!B1112='Policy card'!$C$3,Comments!N1112="Closed"),1,0)</f>
        <v>0</v>
      </c>
      <c r="Q1114" s="0" t="n">
        <f aca="false">Q1113+P1114</f>
        <v>7</v>
      </c>
    </row>
    <row r="1115" customFormat="false" ht="15" hidden="false" customHeight="false" outlineLevel="0" collapsed="false">
      <c r="C1115" s="0" t="n">
        <f aca="false">IF(AND(Comments!B1113='Policy card'!$C$3,Comments!N1113="Open"),1,0)</f>
        <v>0</v>
      </c>
      <c r="D1115" s="0" t="str">
        <f aca="false">IF(C1115=1,E1115,IF(P1115=1,$E$2003+Q1115,""))</f>
        <v/>
      </c>
      <c r="E1115" s="0" t="n">
        <f aca="false">E1114+C1115</f>
        <v>0</v>
      </c>
      <c r="P1115" s="0" t="n">
        <f aca="false">IF(AND(Comments!B1113='Policy card'!$C$3,Comments!N1113="Closed"),1,0)</f>
        <v>0</v>
      </c>
      <c r="Q1115" s="0" t="n">
        <f aca="false">Q1114+P1115</f>
        <v>7</v>
      </c>
    </row>
    <row r="1116" customFormat="false" ht="15" hidden="false" customHeight="false" outlineLevel="0" collapsed="false">
      <c r="C1116" s="0" t="n">
        <f aca="false">IF(AND(Comments!B1114='Policy card'!$C$3,Comments!N1114="Open"),1,0)</f>
        <v>0</v>
      </c>
      <c r="D1116" s="0" t="str">
        <f aca="false">IF(C1116=1,E1116,IF(P1116=1,$E$2003+Q1116,""))</f>
        <v/>
      </c>
      <c r="E1116" s="0" t="n">
        <f aca="false">E1115+C1116</f>
        <v>0</v>
      </c>
      <c r="P1116" s="0" t="n">
        <f aca="false">IF(AND(Comments!B1114='Policy card'!$C$3,Comments!N1114="Closed"),1,0)</f>
        <v>0</v>
      </c>
      <c r="Q1116" s="0" t="n">
        <f aca="false">Q1115+P1116</f>
        <v>7</v>
      </c>
    </row>
    <row r="1117" customFormat="false" ht="15" hidden="false" customHeight="false" outlineLevel="0" collapsed="false">
      <c r="C1117" s="0" t="n">
        <f aca="false">IF(AND(Comments!B1115='Policy card'!$C$3,Comments!N1115="Open"),1,0)</f>
        <v>0</v>
      </c>
      <c r="D1117" s="0" t="str">
        <f aca="false">IF(C1117=1,E1117,IF(P1117=1,$E$2003+Q1117,""))</f>
        <v/>
      </c>
      <c r="E1117" s="0" t="n">
        <f aca="false">E1116+C1117</f>
        <v>0</v>
      </c>
      <c r="P1117" s="0" t="n">
        <f aca="false">IF(AND(Comments!B1115='Policy card'!$C$3,Comments!N1115="Closed"),1,0)</f>
        <v>0</v>
      </c>
      <c r="Q1117" s="0" t="n">
        <f aca="false">Q1116+P1117</f>
        <v>7</v>
      </c>
    </row>
    <row r="1118" customFormat="false" ht="15" hidden="false" customHeight="false" outlineLevel="0" collapsed="false">
      <c r="C1118" s="0" t="n">
        <f aca="false">IF(AND(Comments!B1116='Policy card'!$C$3,Comments!N1116="Open"),1,0)</f>
        <v>0</v>
      </c>
      <c r="D1118" s="0" t="str">
        <f aca="false">IF(C1118=1,E1118,IF(P1118=1,$E$2003+Q1118,""))</f>
        <v/>
      </c>
      <c r="E1118" s="0" t="n">
        <f aca="false">E1117+C1118</f>
        <v>0</v>
      </c>
      <c r="P1118" s="0" t="n">
        <f aca="false">IF(AND(Comments!B1116='Policy card'!$C$3,Comments!N1116="Closed"),1,0)</f>
        <v>0</v>
      </c>
      <c r="Q1118" s="0" t="n">
        <f aca="false">Q1117+P1118</f>
        <v>7</v>
      </c>
    </row>
    <row r="1119" customFormat="false" ht="15" hidden="false" customHeight="false" outlineLevel="0" collapsed="false">
      <c r="C1119" s="0" t="n">
        <f aca="false">IF(AND(Comments!B1117='Policy card'!$C$3,Comments!N1117="Open"),1,0)</f>
        <v>0</v>
      </c>
      <c r="D1119" s="0" t="str">
        <f aca="false">IF(C1119=1,E1119,IF(P1119=1,$E$2003+Q1119,""))</f>
        <v/>
      </c>
      <c r="E1119" s="0" t="n">
        <f aca="false">E1118+C1119</f>
        <v>0</v>
      </c>
      <c r="P1119" s="0" t="n">
        <f aca="false">IF(AND(Comments!B1117='Policy card'!$C$3,Comments!N1117="Closed"),1,0)</f>
        <v>0</v>
      </c>
      <c r="Q1119" s="0" t="n">
        <f aca="false">Q1118+P1119</f>
        <v>7</v>
      </c>
    </row>
    <row r="1120" customFormat="false" ht="15" hidden="false" customHeight="false" outlineLevel="0" collapsed="false">
      <c r="C1120" s="0" t="n">
        <f aca="false">IF(AND(Comments!B1118='Policy card'!$C$3,Comments!N1118="Open"),1,0)</f>
        <v>0</v>
      </c>
      <c r="D1120" s="0" t="str">
        <f aca="false">IF(C1120=1,E1120,IF(P1120=1,$E$2003+Q1120,""))</f>
        <v/>
      </c>
      <c r="E1120" s="0" t="n">
        <f aca="false">E1119+C1120</f>
        <v>0</v>
      </c>
      <c r="P1120" s="0" t="n">
        <f aca="false">IF(AND(Comments!B1118='Policy card'!$C$3,Comments!N1118="Closed"),1,0)</f>
        <v>0</v>
      </c>
      <c r="Q1120" s="0" t="n">
        <f aca="false">Q1119+P1120</f>
        <v>7</v>
      </c>
    </row>
    <row r="1121" customFormat="false" ht="15" hidden="false" customHeight="false" outlineLevel="0" collapsed="false">
      <c r="C1121" s="0" t="n">
        <f aca="false">IF(AND(Comments!B1119='Policy card'!$C$3,Comments!N1119="Open"),1,0)</f>
        <v>0</v>
      </c>
      <c r="D1121" s="0" t="str">
        <f aca="false">IF(C1121=1,E1121,IF(P1121=1,$E$2003+Q1121,""))</f>
        <v/>
      </c>
      <c r="E1121" s="0" t="n">
        <f aca="false">E1120+C1121</f>
        <v>0</v>
      </c>
      <c r="P1121" s="0" t="n">
        <f aca="false">IF(AND(Comments!B1119='Policy card'!$C$3,Comments!N1119="Closed"),1,0)</f>
        <v>0</v>
      </c>
      <c r="Q1121" s="0" t="n">
        <f aca="false">Q1120+P1121</f>
        <v>7</v>
      </c>
    </row>
    <row r="1122" customFormat="false" ht="15" hidden="false" customHeight="false" outlineLevel="0" collapsed="false">
      <c r="C1122" s="0" t="n">
        <f aca="false">IF(AND(Comments!B1120='Policy card'!$C$3,Comments!N1120="Open"),1,0)</f>
        <v>0</v>
      </c>
      <c r="D1122" s="0" t="str">
        <f aca="false">IF(C1122=1,E1122,IF(P1122=1,$E$2003+Q1122,""))</f>
        <v/>
      </c>
      <c r="E1122" s="0" t="n">
        <f aca="false">E1121+C1122</f>
        <v>0</v>
      </c>
      <c r="P1122" s="0" t="n">
        <f aca="false">IF(AND(Comments!B1120='Policy card'!$C$3,Comments!N1120="Closed"),1,0)</f>
        <v>0</v>
      </c>
      <c r="Q1122" s="0" t="n">
        <f aca="false">Q1121+P1122</f>
        <v>7</v>
      </c>
    </row>
    <row r="1123" customFormat="false" ht="15" hidden="false" customHeight="false" outlineLevel="0" collapsed="false">
      <c r="C1123" s="0" t="n">
        <f aca="false">IF(AND(Comments!B1121='Policy card'!$C$3,Comments!N1121="Open"),1,0)</f>
        <v>0</v>
      </c>
      <c r="D1123" s="0" t="str">
        <f aca="false">IF(C1123=1,E1123,IF(P1123=1,$E$2003+Q1123,""))</f>
        <v/>
      </c>
      <c r="E1123" s="0" t="n">
        <f aca="false">E1122+C1123</f>
        <v>0</v>
      </c>
      <c r="P1123" s="0" t="n">
        <f aca="false">IF(AND(Comments!B1121='Policy card'!$C$3,Comments!N1121="Closed"),1,0)</f>
        <v>0</v>
      </c>
      <c r="Q1123" s="0" t="n">
        <f aca="false">Q1122+P1123</f>
        <v>7</v>
      </c>
    </row>
    <row r="1124" customFormat="false" ht="15" hidden="false" customHeight="false" outlineLevel="0" collapsed="false">
      <c r="C1124" s="0" t="n">
        <f aca="false">IF(AND(Comments!B1122='Policy card'!$C$3,Comments!N1122="Open"),1,0)</f>
        <v>0</v>
      </c>
      <c r="D1124" s="0" t="str">
        <f aca="false">IF(C1124=1,E1124,IF(P1124=1,$E$2003+Q1124,""))</f>
        <v/>
      </c>
      <c r="E1124" s="0" t="n">
        <f aca="false">E1123+C1124</f>
        <v>0</v>
      </c>
      <c r="P1124" s="0" t="n">
        <f aca="false">IF(AND(Comments!B1122='Policy card'!$C$3,Comments!N1122="Closed"),1,0)</f>
        <v>0</v>
      </c>
      <c r="Q1124" s="0" t="n">
        <f aca="false">Q1123+P1124</f>
        <v>7</v>
      </c>
    </row>
    <row r="1125" customFormat="false" ht="15" hidden="false" customHeight="false" outlineLevel="0" collapsed="false">
      <c r="C1125" s="0" t="n">
        <f aca="false">IF(AND(Comments!B1123='Policy card'!$C$3,Comments!N1123="Open"),1,0)</f>
        <v>0</v>
      </c>
      <c r="D1125" s="0" t="str">
        <f aca="false">IF(C1125=1,E1125,IF(P1125=1,$E$2003+Q1125,""))</f>
        <v/>
      </c>
      <c r="E1125" s="0" t="n">
        <f aca="false">E1124+C1125</f>
        <v>0</v>
      </c>
      <c r="P1125" s="0" t="n">
        <f aca="false">IF(AND(Comments!B1123='Policy card'!$C$3,Comments!N1123="Closed"),1,0)</f>
        <v>0</v>
      </c>
      <c r="Q1125" s="0" t="n">
        <f aca="false">Q1124+P1125</f>
        <v>7</v>
      </c>
    </row>
    <row r="1126" customFormat="false" ht="15" hidden="false" customHeight="false" outlineLevel="0" collapsed="false">
      <c r="C1126" s="0" t="n">
        <f aca="false">IF(AND(Comments!B1124='Policy card'!$C$3,Comments!N1124="Open"),1,0)</f>
        <v>0</v>
      </c>
      <c r="D1126" s="0" t="str">
        <f aca="false">IF(C1126=1,E1126,IF(P1126=1,$E$2003+Q1126,""))</f>
        <v/>
      </c>
      <c r="E1126" s="0" t="n">
        <f aca="false">E1125+C1126</f>
        <v>0</v>
      </c>
      <c r="P1126" s="0" t="n">
        <f aca="false">IF(AND(Comments!B1124='Policy card'!$C$3,Comments!N1124="Closed"),1,0)</f>
        <v>0</v>
      </c>
      <c r="Q1126" s="0" t="n">
        <f aca="false">Q1125+P1126</f>
        <v>7</v>
      </c>
    </row>
    <row r="1127" customFormat="false" ht="15" hidden="false" customHeight="false" outlineLevel="0" collapsed="false">
      <c r="C1127" s="0" t="n">
        <f aca="false">IF(AND(Comments!B1125='Policy card'!$C$3,Comments!N1125="Open"),1,0)</f>
        <v>0</v>
      </c>
      <c r="D1127" s="0" t="str">
        <f aca="false">IF(C1127=1,E1127,IF(P1127=1,$E$2003+Q1127,""))</f>
        <v/>
      </c>
      <c r="E1127" s="0" t="n">
        <f aca="false">E1126+C1127</f>
        <v>0</v>
      </c>
      <c r="P1127" s="0" t="n">
        <f aca="false">IF(AND(Comments!B1125='Policy card'!$C$3,Comments!N1125="Closed"),1,0)</f>
        <v>0</v>
      </c>
      <c r="Q1127" s="0" t="n">
        <f aca="false">Q1126+P1127</f>
        <v>7</v>
      </c>
    </row>
    <row r="1128" customFormat="false" ht="15" hidden="false" customHeight="false" outlineLevel="0" collapsed="false">
      <c r="C1128" s="0" t="n">
        <f aca="false">IF(AND(Comments!B1126='Policy card'!$C$3,Comments!N1126="Open"),1,0)</f>
        <v>0</v>
      </c>
      <c r="D1128" s="0" t="str">
        <f aca="false">IF(C1128=1,E1128,IF(P1128=1,$E$2003+Q1128,""))</f>
        <v/>
      </c>
      <c r="E1128" s="0" t="n">
        <f aca="false">E1127+C1128</f>
        <v>0</v>
      </c>
      <c r="P1128" s="0" t="n">
        <f aca="false">IF(AND(Comments!B1126='Policy card'!$C$3,Comments!N1126="Closed"),1,0)</f>
        <v>0</v>
      </c>
      <c r="Q1128" s="0" t="n">
        <f aca="false">Q1127+P1128</f>
        <v>7</v>
      </c>
    </row>
    <row r="1129" customFormat="false" ht="15" hidden="false" customHeight="false" outlineLevel="0" collapsed="false">
      <c r="C1129" s="0" t="n">
        <f aca="false">IF(AND(Comments!B1127='Policy card'!$C$3,Comments!N1127="Open"),1,0)</f>
        <v>0</v>
      </c>
      <c r="D1129" s="0" t="str">
        <f aca="false">IF(C1129=1,E1129,IF(P1129=1,$E$2003+Q1129,""))</f>
        <v/>
      </c>
      <c r="E1129" s="0" t="n">
        <f aca="false">E1128+C1129</f>
        <v>0</v>
      </c>
      <c r="P1129" s="0" t="n">
        <f aca="false">IF(AND(Comments!B1127='Policy card'!$C$3,Comments!N1127="Closed"),1,0)</f>
        <v>0</v>
      </c>
      <c r="Q1129" s="0" t="n">
        <f aca="false">Q1128+P1129</f>
        <v>7</v>
      </c>
    </row>
    <row r="1130" customFormat="false" ht="15" hidden="false" customHeight="false" outlineLevel="0" collapsed="false">
      <c r="C1130" s="0" t="n">
        <f aca="false">IF(AND(Comments!B1128='Policy card'!$C$3,Comments!N1128="Open"),1,0)</f>
        <v>0</v>
      </c>
      <c r="D1130" s="0" t="str">
        <f aca="false">IF(C1130=1,E1130,IF(P1130=1,$E$2003+Q1130,""))</f>
        <v/>
      </c>
      <c r="E1130" s="0" t="n">
        <f aca="false">E1129+C1130</f>
        <v>0</v>
      </c>
      <c r="P1130" s="0" t="n">
        <f aca="false">IF(AND(Comments!B1128='Policy card'!$C$3,Comments!N1128="Closed"),1,0)</f>
        <v>0</v>
      </c>
      <c r="Q1130" s="0" t="n">
        <f aca="false">Q1129+P1130</f>
        <v>7</v>
      </c>
    </row>
    <row r="1131" customFormat="false" ht="15" hidden="false" customHeight="false" outlineLevel="0" collapsed="false">
      <c r="C1131" s="0" t="n">
        <f aca="false">IF(AND(Comments!B1129='Policy card'!$C$3,Comments!N1129="Open"),1,0)</f>
        <v>0</v>
      </c>
      <c r="D1131" s="0" t="str">
        <f aca="false">IF(C1131=1,E1131,IF(P1131=1,$E$2003+Q1131,""))</f>
        <v/>
      </c>
      <c r="E1131" s="0" t="n">
        <f aca="false">E1130+C1131</f>
        <v>0</v>
      </c>
      <c r="P1131" s="0" t="n">
        <f aca="false">IF(AND(Comments!B1129='Policy card'!$C$3,Comments!N1129="Closed"),1,0)</f>
        <v>0</v>
      </c>
      <c r="Q1131" s="0" t="n">
        <f aca="false">Q1130+P1131</f>
        <v>7</v>
      </c>
    </row>
    <row r="1132" customFormat="false" ht="15" hidden="false" customHeight="false" outlineLevel="0" collapsed="false">
      <c r="C1132" s="0" t="n">
        <f aca="false">IF(AND(Comments!B1130='Policy card'!$C$3,Comments!N1130="Open"),1,0)</f>
        <v>0</v>
      </c>
      <c r="D1132" s="0" t="str">
        <f aca="false">IF(C1132=1,E1132,IF(P1132=1,$E$2003+Q1132,""))</f>
        <v/>
      </c>
      <c r="E1132" s="0" t="n">
        <f aca="false">E1131+C1132</f>
        <v>0</v>
      </c>
      <c r="P1132" s="0" t="n">
        <f aca="false">IF(AND(Comments!B1130='Policy card'!$C$3,Comments!N1130="Closed"),1,0)</f>
        <v>0</v>
      </c>
      <c r="Q1132" s="0" t="n">
        <f aca="false">Q1131+P1132</f>
        <v>7</v>
      </c>
    </row>
    <row r="1133" customFormat="false" ht="15" hidden="false" customHeight="false" outlineLevel="0" collapsed="false">
      <c r="C1133" s="0" t="n">
        <f aca="false">IF(AND(Comments!B1131='Policy card'!$C$3,Comments!N1131="Open"),1,0)</f>
        <v>0</v>
      </c>
      <c r="D1133" s="0" t="str">
        <f aca="false">IF(C1133=1,E1133,IF(P1133=1,$E$2003+Q1133,""))</f>
        <v/>
      </c>
      <c r="E1133" s="0" t="n">
        <f aca="false">E1132+C1133</f>
        <v>0</v>
      </c>
      <c r="P1133" s="0" t="n">
        <f aca="false">IF(AND(Comments!B1131='Policy card'!$C$3,Comments!N1131="Closed"),1,0)</f>
        <v>0</v>
      </c>
      <c r="Q1133" s="0" t="n">
        <f aca="false">Q1132+P1133</f>
        <v>7</v>
      </c>
    </row>
    <row r="1134" customFormat="false" ht="15" hidden="false" customHeight="false" outlineLevel="0" collapsed="false">
      <c r="C1134" s="0" t="n">
        <f aca="false">IF(AND(Comments!B1132='Policy card'!$C$3,Comments!N1132="Open"),1,0)</f>
        <v>0</v>
      </c>
      <c r="D1134" s="0" t="str">
        <f aca="false">IF(C1134=1,E1134,IF(P1134=1,$E$2003+Q1134,""))</f>
        <v/>
      </c>
      <c r="E1134" s="0" t="n">
        <f aca="false">E1133+C1134</f>
        <v>0</v>
      </c>
      <c r="P1134" s="0" t="n">
        <f aca="false">IF(AND(Comments!B1132='Policy card'!$C$3,Comments!N1132="Closed"),1,0)</f>
        <v>0</v>
      </c>
      <c r="Q1134" s="0" t="n">
        <f aca="false">Q1133+P1134</f>
        <v>7</v>
      </c>
    </row>
    <row r="1135" customFormat="false" ht="15" hidden="false" customHeight="false" outlineLevel="0" collapsed="false">
      <c r="C1135" s="0" t="n">
        <f aca="false">IF(AND(Comments!B1133='Policy card'!$C$3,Comments!N1133="Open"),1,0)</f>
        <v>0</v>
      </c>
      <c r="D1135" s="0" t="str">
        <f aca="false">IF(C1135=1,E1135,IF(P1135=1,$E$2003+Q1135,""))</f>
        <v/>
      </c>
      <c r="E1135" s="0" t="n">
        <f aca="false">E1134+C1135</f>
        <v>0</v>
      </c>
      <c r="P1135" s="0" t="n">
        <f aca="false">IF(AND(Comments!B1133='Policy card'!$C$3,Comments!N1133="Closed"),1,0)</f>
        <v>0</v>
      </c>
      <c r="Q1135" s="0" t="n">
        <f aca="false">Q1134+P1135</f>
        <v>7</v>
      </c>
    </row>
    <row r="1136" customFormat="false" ht="15" hidden="false" customHeight="false" outlineLevel="0" collapsed="false">
      <c r="C1136" s="0" t="n">
        <f aca="false">IF(AND(Comments!B1134='Policy card'!$C$3,Comments!N1134="Open"),1,0)</f>
        <v>0</v>
      </c>
      <c r="D1136" s="0" t="str">
        <f aca="false">IF(C1136=1,E1136,IF(P1136=1,$E$2003+Q1136,""))</f>
        <v/>
      </c>
      <c r="E1136" s="0" t="n">
        <f aca="false">E1135+C1136</f>
        <v>0</v>
      </c>
      <c r="P1136" s="0" t="n">
        <f aca="false">IF(AND(Comments!B1134='Policy card'!$C$3,Comments!N1134="Closed"),1,0)</f>
        <v>0</v>
      </c>
      <c r="Q1136" s="0" t="n">
        <f aca="false">Q1135+P1136</f>
        <v>7</v>
      </c>
    </row>
    <row r="1137" customFormat="false" ht="15" hidden="false" customHeight="false" outlineLevel="0" collapsed="false">
      <c r="C1137" s="0" t="n">
        <f aca="false">IF(AND(Comments!B1135='Policy card'!$C$3,Comments!N1135="Open"),1,0)</f>
        <v>0</v>
      </c>
      <c r="D1137" s="0" t="str">
        <f aca="false">IF(C1137=1,E1137,IF(P1137=1,$E$2003+Q1137,""))</f>
        <v/>
      </c>
      <c r="E1137" s="0" t="n">
        <f aca="false">E1136+C1137</f>
        <v>0</v>
      </c>
      <c r="P1137" s="0" t="n">
        <f aca="false">IF(AND(Comments!B1135='Policy card'!$C$3,Comments!N1135="Closed"),1,0)</f>
        <v>0</v>
      </c>
      <c r="Q1137" s="0" t="n">
        <f aca="false">Q1136+P1137</f>
        <v>7</v>
      </c>
    </row>
    <row r="1138" customFormat="false" ht="15" hidden="false" customHeight="false" outlineLevel="0" collapsed="false">
      <c r="C1138" s="0" t="n">
        <f aca="false">IF(AND(Comments!B1136='Policy card'!$C$3,Comments!N1136="Open"),1,0)</f>
        <v>0</v>
      </c>
      <c r="D1138" s="0" t="str">
        <f aca="false">IF(C1138=1,E1138,IF(P1138=1,$E$2003+Q1138,""))</f>
        <v/>
      </c>
      <c r="E1138" s="0" t="n">
        <f aca="false">E1137+C1138</f>
        <v>0</v>
      </c>
      <c r="P1138" s="0" t="n">
        <f aca="false">IF(AND(Comments!B1136='Policy card'!$C$3,Comments!N1136="Closed"),1,0)</f>
        <v>0</v>
      </c>
      <c r="Q1138" s="0" t="n">
        <f aca="false">Q1137+P1138</f>
        <v>7</v>
      </c>
    </row>
    <row r="1139" customFormat="false" ht="15" hidden="false" customHeight="false" outlineLevel="0" collapsed="false">
      <c r="C1139" s="0" t="n">
        <f aca="false">IF(AND(Comments!B1137='Policy card'!$C$3,Comments!N1137="Open"),1,0)</f>
        <v>0</v>
      </c>
      <c r="D1139" s="0" t="str">
        <f aca="false">IF(C1139=1,E1139,IF(P1139=1,$E$2003+Q1139,""))</f>
        <v/>
      </c>
      <c r="E1139" s="0" t="n">
        <f aca="false">E1138+C1139</f>
        <v>0</v>
      </c>
      <c r="P1139" s="0" t="n">
        <f aca="false">IF(AND(Comments!B1137='Policy card'!$C$3,Comments!N1137="Closed"),1,0)</f>
        <v>0</v>
      </c>
      <c r="Q1139" s="0" t="n">
        <f aca="false">Q1138+P1139</f>
        <v>7</v>
      </c>
    </row>
    <row r="1140" customFormat="false" ht="15" hidden="false" customHeight="false" outlineLevel="0" collapsed="false">
      <c r="C1140" s="0" t="n">
        <f aca="false">IF(AND(Comments!B1138='Policy card'!$C$3,Comments!N1138="Open"),1,0)</f>
        <v>0</v>
      </c>
      <c r="D1140" s="0" t="str">
        <f aca="false">IF(C1140=1,E1140,IF(P1140=1,$E$2003+Q1140,""))</f>
        <v/>
      </c>
      <c r="E1140" s="0" t="n">
        <f aca="false">E1139+C1140</f>
        <v>0</v>
      </c>
      <c r="P1140" s="0" t="n">
        <f aca="false">IF(AND(Comments!B1138='Policy card'!$C$3,Comments!N1138="Closed"),1,0)</f>
        <v>0</v>
      </c>
      <c r="Q1140" s="0" t="n">
        <f aca="false">Q1139+P1140</f>
        <v>7</v>
      </c>
    </row>
    <row r="1141" customFormat="false" ht="15" hidden="false" customHeight="false" outlineLevel="0" collapsed="false">
      <c r="C1141" s="0" t="n">
        <f aca="false">IF(AND(Comments!B1139='Policy card'!$C$3,Comments!N1139="Open"),1,0)</f>
        <v>0</v>
      </c>
      <c r="D1141" s="0" t="str">
        <f aca="false">IF(C1141=1,E1141,IF(P1141=1,$E$2003+Q1141,""))</f>
        <v/>
      </c>
      <c r="E1141" s="0" t="n">
        <f aca="false">E1140+C1141</f>
        <v>0</v>
      </c>
      <c r="P1141" s="0" t="n">
        <f aca="false">IF(AND(Comments!B1139='Policy card'!$C$3,Comments!N1139="Closed"),1,0)</f>
        <v>0</v>
      </c>
      <c r="Q1141" s="0" t="n">
        <f aca="false">Q1140+P1141</f>
        <v>7</v>
      </c>
    </row>
    <row r="1142" customFormat="false" ht="15" hidden="false" customHeight="false" outlineLevel="0" collapsed="false">
      <c r="C1142" s="0" t="n">
        <f aca="false">IF(AND(Comments!B1140='Policy card'!$C$3,Comments!N1140="Open"),1,0)</f>
        <v>0</v>
      </c>
      <c r="D1142" s="0" t="str">
        <f aca="false">IF(C1142=1,E1142,IF(P1142=1,$E$2003+Q1142,""))</f>
        <v/>
      </c>
      <c r="E1142" s="0" t="n">
        <f aca="false">E1141+C1142</f>
        <v>0</v>
      </c>
      <c r="P1142" s="0" t="n">
        <f aca="false">IF(AND(Comments!B1140='Policy card'!$C$3,Comments!N1140="Closed"),1,0)</f>
        <v>0</v>
      </c>
      <c r="Q1142" s="0" t="n">
        <f aca="false">Q1141+P1142</f>
        <v>7</v>
      </c>
    </row>
    <row r="1143" customFormat="false" ht="15" hidden="false" customHeight="false" outlineLevel="0" collapsed="false">
      <c r="C1143" s="0" t="n">
        <f aca="false">IF(AND(Comments!B1141='Policy card'!$C$3,Comments!N1141="Open"),1,0)</f>
        <v>0</v>
      </c>
      <c r="D1143" s="0" t="str">
        <f aca="false">IF(C1143=1,E1143,IF(P1143=1,$E$2003+Q1143,""))</f>
        <v/>
      </c>
      <c r="E1143" s="0" t="n">
        <f aca="false">E1142+C1143</f>
        <v>0</v>
      </c>
      <c r="P1143" s="0" t="n">
        <f aca="false">IF(AND(Comments!B1141='Policy card'!$C$3,Comments!N1141="Closed"),1,0)</f>
        <v>0</v>
      </c>
      <c r="Q1143" s="0" t="n">
        <f aca="false">Q1142+P1143</f>
        <v>7</v>
      </c>
    </row>
    <row r="1144" customFormat="false" ht="15" hidden="false" customHeight="false" outlineLevel="0" collapsed="false">
      <c r="C1144" s="0" t="n">
        <f aca="false">IF(AND(Comments!B1142='Policy card'!$C$3,Comments!N1142="Open"),1,0)</f>
        <v>0</v>
      </c>
      <c r="D1144" s="0" t="str">
        <f aca="false">IF(C1144=1,E1144,IF(P1144=1,$E$2003+Q1144,""))</f>
        <v/>
      </c>
      <c r="E1144" s="0" t="n">
        <f aca="false">E1143+C1144</f>
        <v>0</v>
      </c>
      <c r="P1144" s="0" t="n">
        <f aca="false">IF(AND(Comments!B1142='Policy card'!$C$3,Comments!N1142="Closed"),1,0)</f>
        <v>0</v>
      </c>
      <c r="Q1144" s="0" t="n">
        <f aca="false">Q1143+P1144</f>
        <v>7</v>
      </c>
    </row>
    <row r="1145" customFormat="false" ht="15" hidden="false" customHeight="false" outlineLevel="0" collapsed="false">
      <c r="C1145" s="0" t="n">
        <f aca="false">IF(AND(Comments!B1143='Policy card'!$C$3,Comments!N1143="Open"),1,0)</f>
        <v>0</v>
      </c>
      <c r="D1145" s="0" t="str">
        <f aca="false">IF(C1145=1,E1145,IF(P1145=1,$E$2003+Q1145,""))</f>
        <v/>
      </c>
      <c r="E1145" s="0" t="n">
        <f aca="false">E1144+C1145</f>
        <v>0</v>
      </c>
      <c r="P1145" s="0" t="n">
        <f aca="false">IF(AND(Comments!B1143='Policy card'!$C$3,Comments!N1143="Closed"),1,0)</f>
        <v>0</v>
      </c>
      <c r="Q1145" s="0" t="n">
        <f aca="false">Q1144+P1145</f>
        <v>7</v>
      </c>
    </row>
    <row r="1146" customFormat="false" ht="15" hidden="false" customHeight="false" outlineLevel="0" collapsed="false">
      <c r="C1146" s="0" t="n">
        <f aca="false">IF(AND(Comments!B1144='Policy card'!$C$3,Comments!N1144="Open"),1,0)</f>
        <v>0</v>
      </c>
      <c r="D1146" s="0" t="str">
        <f aca="false">IF(C1146=1,E1146,IF(P1146=1,$E$2003+Q1146,""))</f>
        <v/>
      </c>
      <c r="E1146" s="0" t="n">
        <f aca="false">E1145+C1146</f>
        <v>0</v>
      </c>
      <c r="P1146" s="0" t="n">
        <f aca="false">IF(AND(Comments!B1144='Policy card'!$C$3,Comments!N1144="Closed"),1,0)</f>
        <v>0</v>
      </c>
      <c r="Q1146" s="0" t="n">
        <f aca="false">Q1145+P1146</f>
        <v>7</v>
      </c>
    </row>
    <row r="1147" customFormat="false" ht="15" hidden="false" customHeight="false" outlineLevel="0" collapsed="false">
      <c r="C1147" s="0" t="n">
        <f aca="false">IF(AND(Comments!B1145='Policy card'!$C$3,Comments!N1145="Open"),1,0)</f>
        <v>0</v>
      </c>
      <c r="D1147" s="0" t="str">
        <f aca="false">IF(C1147=1,E1147,IF(P1147=1,$E$2003+Q1147,""))</f>
        <v/>
      </c>
      <c r="E1147" s="0" t="n">
        <f aca="false">E1146+C1147</f>
        <v>0</v>
      </c>
      <c r="P1147" s="0" t="n">
        <f aca="false">IF(AND(Comments!B1145='Policy card'!$C$3,Comments!N1145="Closed"),1,0)</f>
        <v>0</v>
      </c>
      <c r="Q1147" s="0" t="n">
        <f aca="false">Q1146+P1147</f>
        <v>7</v>
      </c>
    </row>
    <row r="1148" customFormat="false" ht="15" hidden="false" customHeight="false" outlineLevel="0" collapsed="false">
      <c r="C1148" s="0" t="n">
        <f aca="false">IF(AND(Comments!B1146='Policy card'!$C$3,Comments!N1146="Open"),1,0)</f>
        <v>0</v>
      </c>
      <c r="D1148" s="0" t="str">
        <f aca="false">IF(C1148=1,E1148,IF(P1148=1,$E$2003+Q1148,""))</f>
        <v/>
      </c>
      <c r="E1148" s="0" t="n">
        <f aca="false">E1147+C1148</f>
        <v>0</v>
      </c>
      <c r="P1148" s="0" t="n">
        <f aca="false">IF(AND(Comments!B1146='Policy card'!$C$3,Comments!N1146="Closed"),1,0)</f>
        <v>0</v>
      </c>
      <c r="Q1148" s="0" t="n">
        <f aca="false">Q1147+P1148</f>
        <v>7</v>
      </c>
    </row>
    <row r="1149" customFormat="false" ht="15" hidden="false" customHeight="false" outlineLevel="0" collapsed="false">
      <c r="C1149" s="0" t="n">
        <f aca="false">IF(AND(Comments!B1147='Policy card'!$C$3,Comments!N1147="Open"),1,0)</f>
        <v>0</v>
      </c>
      <c r="D1149" s="0" t="str">
        <f aca="false">IF(C1149=1,E1149,IF(P1149=1,$E$2003+Q1149,""))</f>
        <v/>
      </c>
      <c r="E1149" s="0" t="n">
        <f aca="false">E1148+C1149</f>
        <v>0</v>
      </c>
      <c r="P1149" s="0" t="n">
        <f aca="false">IF(AND(Comments!B1147='Policy card'!$C$3,Comments!N1147="Closed"),1,0)</f>
        <v>0</v>
      </c>
      <c r="Q1149" s="0" t="n">
        <f aca="false">Q1148+P1149</f>
        <v>7</v>
      </c>
    </row>
    <row r="1150" customFormat="false" ht="15" hidden="false" customHeight="false" outlineLevel="0" collapsed="false">
      <c r="C1150" s="0" t="n">
        <f aca="false">IF(AND(Comments!B1148='Policy card'!$C$3,Comments!N1148="Open"),1,0)</f>
        <v>0</v>
      </c>
      <c r="D1150" s="0" t="str">
        <f aca="false">IF(C1150=1,E1150,IF(P1150=1,$E$2003+Q1150,""))</f>
        <v/>
      </c>
      <c r="E1150" s="0" t="n">
        <f aca="false">E1149+C1150</f>
        <v>0</v>
      </c>
      <c r="P1150" s="0" t="n">
        <f aca="false">IF(AND(Comments!B1148='Policy card'!$C$3,Comments!N1148="Closed"),1,0)</f>
        <v>0</v>
      </c>
      <c r="Q1150" s="0" t="n">
        <f aca="false">Q1149+P1150</f>
        <v>7</v>
      </c>
    </row>
    <row r="1151" customFormat="false" ht="15" hidden="false" customHeight="false" outlineLevel="0" collapsed="false">
      <c r="C1151" s="0" t="n">
        <f aca="false">IF(AND(Comments!B1149='Policy card'!$C$3,Comments!N1149="Open"),1,0)</f>
        <v>0</v>
      </c>
      <c r="D1151" s="0" t="str">
        <f aca="false">IF(C1151=1,E1151,IF(P1151=1,$E$2003+Q1151,""))</f>
        <v/>
      </c>
      <c r="E1151" s="0" t="n">
        <f aca="false">E1150+C1151</f>
        <v>0</v>
      </c>
      <c r="P1151" s="0" t="n">
        <f aca="false">IF(AND(Comments!B1149='Policy card'!$C$3,Comments!N1149="Closed"),1,0)</f>
        <v>0</v>
      </c>
      <c r="Q1151" s="0" t="n">
        <f aca="false">Q1150+P1151</f>
        <v>7</v>
      </c>
    </row>
    <row r="1152" customFormat="false" ht="15" hidden="false" customHeight="false" outlineLevel="0" collapsed="false">
      <c r="C1152" s="0" t="n">
        <f aca="false">IF(AND(Comments!B1150='Policy card'!$C$3,Comments!N1150="Open"),1,0)</f>
        <v>0</v>
      </c>
      <c r="D1152" s="0" t="str">
        <f aca="false">IF(C1152=1,E1152,IF(P1152=1,$E$2003+Q1152,""))</f>
        <v/>
      </c>
      <c r="E1152" s="0" t="n">
        <f aca="false">E1151+C1152</f>
        <v>0</v>
      </c>
      <c r="P1152" s="0" t="n">
        <f aca="false">IF(AND(Comments!B1150='Policy card'!$C$3,Comments!N1150="Closed"),1,0)</f>
        <v>0</v>
      </c>
      <c r="Q1152" s="0" t="n">
        <f aca="false">Q1151+P1152</f>
        <v>7</v>
      </c>
    </row>
    <row r="1153" customFormat="false" ht="15" hidden="false" customHeight="false" outlineLevel="0" collapsed="false">
      <c r="C1153" s="0" t="n">
        <f aca="false">IF(AND(Comments!B1151='Policy card'!$C$3,Comments!N1151="Open"),1,0)</f>
        <v>0</v>
      </c>
      <c r="D1153" s="0" t="str">
        <f aca="false">IF(C1153=1,E1153,IF(P1153=1,$E$2003+Q1153,""))</f>
        <v/>
      </c>
      <c r="E1153" s="0" t="n">
        <f aca="false">E1152+C1153</f>
        <v>0</v>
      </c>
      <c r="P1153" s="0" t="n">
        <f aca="false">IF(AND(Comments!B1151='Policy card'!$C$3,Comments!N1151="Closed"),1,0)</f>
        <v>0</v>
      </c>
      <c r="Q1153" s="0" t="n">
        <f aca="false">Q1152+P1153</f>
        <v>7</v>
      </c>
    </row>
    <row r="1154" customFormat="false" ht="15" hidden="false" customHeight="false" outlineLevel="0" collapsed="false">
      <c r="C1154" s="0" t="n">
        <f aca="false">IF(AND(Comments!B1152='Policy card'!$C$3,Comments!N1152="Open"),1,0)</f>
        <v>0</v>
      </c>
      <c r="D1154" s="0" t="str">
        <f aca="false">IF(C1154=1,E1154,IF(P1154=1,$E$2003+Q1154,""))</f>
        <v/>
      </c>
      <c r="E1154" s="0" t="n">
        <f aca="false">E1153+C1154</f>
        <v>0</v>
      </c>
      <c r="P1154" s="0" t="n">
        <f aca="false">IF(AND(Comments!B1152='Policy card'!$C$3,Comments!N1152="Closed"),1,0)</f>
        <v>0</v>
      </c>
      <c r="Q1154" s="0" t="n">
        <f aca="false">Q1153+P1154</f>
        <v>7</v>
      </c>
    </row>
    <row r="1155" customFormat="false" ht="15" hidden="false" customHeight="false" outlineLevel="0" collapsed="false">
      <c r="C1155" s="0" t="n">
        <f aca="false">IF(AND(Comments!B1153='Policy card'!$C$3,Comments!N1153="Open"),1,0)</f>
        <v>0</v>
      </c>
      <c r="D1155" s="0" t="str">
        <f aca="false">IF(C1155=1,E1155,IF(P1155=1,$E$2003+Q1155,""))</f>
        <v/>
      </c>
      <c r="E1155" s="0" t="n">
        <f aca="false">E1154+C1155</f>
        <v>0</v>
      </c>
      <c r="P1155" s="0" t="n">
        <f aca="false">IF(AND(Comments!B1153='Policy card'!$C$3,Comments!N1153="Closed"),1,0)</f>
        <v>0</v>
      </c>
      <c r="Q1155" s="0" t="n">
        <f aca="false">Q1154+P1155</f>
        <v>7</v>
      </c>
    </row>
    <row r="1156" customFormat="false" ht="15" hidden="false" customHeight="false" outlineLevel="0" collapsed="false">
      <c r="C1156" s="0" t="n">
        <f aca="false">IF(AND(Comments!B1154='Policy card'!$C$3,Comments!N1154="Open"),1,0)</f>
        <v>0</v>
      </c>
      <c r="D1156" s="0" t="str">
        <f aca="false">IF(C1156=1,E1156,IF(P1156=1,$E$2003+Q1156,""))</f>
        <v/>
      </c>
      <c r="E1156" s="0" t="n">
        <f aca="false">E1155+C1156</f>
        <v>0</v>
      </c>
      <c r="P1156" s="0" t="n">
        <f aca="false">IF(AND(Comments!B1154='Policy card'!$C$3,Comments!N1154="Closed"),1,0)</f>
        <v>0</v>
      </c>
      <c r="Q1156" s="0" t="n">
        <f aca="false">Q1155+P1156</f>
        <v>7</v>
      </c>
    </row>
    <row r="1157" customFormat="false" ht="15" hidden="false" customHeight="false" outlineLevel="0" collapsed="false">
      <c r="C1157" s="0" t="n">
        <f aca="false">IF(AND(Comments!B1155='Policy card'!$C$3,Comments!N1155="Open"),1,0)</f>
        <v>0</v>
      </c>
      <c r="D1157" s="0" t="str">
        <f aca="false">IF(C1157=1,E1157,IF(P1157=1,$E$2003+Q1157,""))</f>
        <v/>
      </c>
      <c r="E1157" s="0" t="n">
        <f aca="false">E1156+C1157</f>
        <v>0</v>
      </c>
      <c r="P1157" s="0" t="n">
        <f aca="false">IF(AND(Comments!B1155='Policy card'!$C$3,Comments!N1155="Closed"),1,0)</f>
        <v>0</v>
      </c>
      <c r="Q1157" s="0" t="n">
        <f aca="false">Q1156+P1157</f>
        <v>7</v>
      </c>
    </row>
    <row r="1158" customFormat="false" ht="15" hidden="false" customHeight="false" outlineLevel="0" collapsed="false">
      <c r="C1158" s="0" t="n">
        <f aca="false">IF(AND(Comments!B1156='Policy card'!$C$3,Comments!N1156="Open"),1,0)</f>
        <v>0</v>
      </c>
      <c r="D1158" s="0" t="str">
        <f aca="false">IF(C1158=1,E1158,IF(P1158=1,$E$2003+Q1158,""))</f>
        <v/>
      </c>
      <c r="E1158" s="0" t="n">
        <f aca="false">E1157+C1158</f>
        <v>0</v>
      </c>
      <c r="P1158" s="0" t="n">
        <f aca="false">IF(AND(Comments!B1156='Policy card'!$C$3,Comments!N1156="Closed"),1,0)</f>
        <v>0</v>
      </c>
      <c r="Q1158" s="0" t="n">
        <f aca="false">Q1157+P1158</f>
        <v>7</v>
      </c>
    </row>
    <row r="1159" customFormat="false" ht="15" hidden="false" customHeight="false" outlineLevel="0" collapsed="false">
      <c r="C1159" s="0" t="n">
        <f aca="false">IF(AND(Comments!B1157='Policy card'!$C$3,Comments!N1157="Open"),1,0)</f>
        <v>0</v>
      </c>
      <c r="D1159" s="0" t="str">
        <f aca="false">IF(C1159=1,E1159,IF(P1159=1,$E$2003+Q1159,""))</f>
        <v/>
      </c>
      <c r="E1159" s="0" t="n">
        <f aca="false">E1158+C1159</f>
        <v>0</v>
      </c>
      <c r="P1159" s="0" t="n">
        <f aca="false">IF(AND(Comments!B1157='Policy card'!$C$3,Comments!N1157="Closed"),1,0)</f>
        <v>0</v>
      </c>
      <c r="Q1159" s="0" t="n">
        <f aca="false">Q1158+P1159</f>
        <v>7</v>
      </c>
    </row>
    <row r="1160" customFormat="false" ht="15" hidden="false" customHeight="false" outlineLevel="0" collapsed="false">
      <c r="C1160" s="0" t="n">
        <f aca="false">IF(AND(Comments!B1158='Policy card'!$C$3,Comments!N1158="Open"),1,0)</f>
        <v>0</v>
      </c>
      <c r="D1160" s="0" t="str">
        <f aca="false">IF(C1160=1,E1160,IF(P1160=1,$E$2003+Q1160,""))</f>
        <v/>
      </c>
      <c r="E1160" s="0" t="n">
        <f aca="false">E1159+C1160</f>
        <v>0</v>
      </c>
      <c r="P1160" s="0" t="n">
        <f aca="false">IF(AND(Comments!B1158='Policy card'!$C$3,Comments!N1158="Closed"),1,0)</f>
        <v>0</v>
      </c>
      <c r="Q1160" s="0" t="n">
        <f aca="false">Q1159+P1160</f>
        <v>7</v>
      </c>
    </row>
    <row r="1161" customFormat="false" ht="15" hidden="false" customHeight="false" outlineLevel="0" collapsed="false">
      <c r="C1161" s="0" t="n">
        <f aca="false">IF(AND(Comments!B1159='Policy card'!$C$3,Comments!N1159="Open"),1,0)</f>
        <v>0</v>
      </c>
      <c r="D1161" s="0" t="str">
        <f aca="false">IF(C1161=1,E1161,IF(P1161=1,$E$2003+Q1161,""))</f>
        <v/>
      </c>
      <c r="E1161" s="0" t="n">
        <f aca="false">E1160+C1161</f>
        <v>0</v>
      </c>
      <c r="P1161" s="0" t="n">
        <f aca="false">IF(AND(Comments!B1159='Policy card'!$C$3,Comments!N1159="Closed"),1,0)</f>
        <v>0</v>
      </c>
      <c r="Q1161" s="0" t="n">
        <f aca="false">Q1160+P1161</f>
        <v>7</v>
      </c>
    </row>
    <row r="1162" customFormat="false" ht="15" hidden="false" customHeight="false" outlineLevel="0" collapsed="false">
      <c r="C1162" s="0" t="n">
        <f aca="false">IF(AND(Comments!B1160='Policy card'!$C$3,Comments!N1160="Open"),1,0)</f>
        <v>0</v>
      </c>
      <c r="D1162" s="0" t="str">
        <f aca="false">IF(C1162=1,E1162,IF(P1162=1,$E$2003+Q1162,""))</f>
        <v/>
      </c>
      <c r="E1162" s="0" t="n">
        <f aca="false">E1161+C1162</f>
        <v>0</v>
      </c>
      <c r="P1162" s="0" t="n">
        <f aca="false">IF(AND(Comments!B1160='Policy card'!$C$3,Comments!N1160="Closed"),1,0)</f>
        <v>0</v>
      </c>
      <c r="Q1162" s="0" t="n">
        <f aca="false">Q1161+P1162</f>
        <v>7</v>
      </c>
    </row>
    <row r="1163" customFormat="false" ht="15" hidden="false" customHeight="false" outlineLevel="0" collapsed="false">
      <c r="C1163" s="0" t="n">
        <f aca="false">IF(AND(Comments!B1161='Policy card'!$C$3,Comments!N1161="Open"),1,0)</f>
        <v>0</v>
      </c>
      <c r="D1163" s="0" t="str">
        <f aca="false">IF(C1163=1,E1163,IF(P1163=1,$E$2003+Q1163,""))</f>
        <v/>
      </c>
      <c r="E1163" s="0" t="n">
        <f aca="false">E1162+C1163</f>
        <v>0</v>
      </c>
      <c r="P1163" s="0" t="n">
        <f aca="false">IF(AND(Comments!B1161='Policy card'!$C$3,Comments!N1161="Closed"),1,0)</f>
        <v>0</v>
      </c>
      <c r="Q1163" s="0" t="n">
        <f aca="false">Q1162+P1163</f>
        <v>7</v>
      </c>
    </row>
    <row r="1164" customFormat="false" ht="15" hidden="false" customHeight="false" outlineLevel="0" collapsed="false">
      <c r="C1164" s="0" t="n">
        <f aca="false">IF(AND(Comments!B1162='Policy card'!$C$3,Comments!N1162="Open"),1,0)</f>
        <v>0</v>
      </c>
      <c r="D1164" s="0" t="str">
        <f aca="false">IF(C1164=1,E1164,IF(P1164=1,$E$2003+Q1164,""))</f>
        <v/>
      </c>
      <c r="E1164" s="0" t="n">
        <f aca="false">E1163+C1164</f>
        <v>0</v>
      </c>
      <c r="P1164" s="0" t="n">
        <f aca="false">IF(AND(Comments!B1162='Policy card'!$C$3,Comments!N1162="Closed"),1,0)</f>
        <v>0</v>
      </c>
      <c r="Q1164" s="0" t="n">
        <f aca="false">Q1163+P1164</f>
        <v>7</v>
      </c>
    </row>
    <row r="1165" customFormat="false" ht="15" hidden="false" customHeight="false" outlineLevel="0" collapsed="false">
      <c r="C1165" s="0" t="n">
        <f aca="false">IF(AND(Comments!B1163='Policy card'!$C$3,Comments!N1163="Open"),1,0)</f>
        <v>0</v>
      </c>
      <c r="D1165" s="0" t="str">
        <f aca="false">IF(C1165=1,E1165,IF(P1165=1,$E$2003+Q1165,""))</f>
        <v/>
      </c>
      <c r="E1165" s="0" t="n">
        <f aca="false">E1164+C1165</f>
        <v>0</v>
      </c>
      <c r="P1165" s="0" t="n">
        <f aca="false">IF(AND(Comments!B1163='Policy card'!$C$3,Comments!N1163="Closed"),1,0)</f>
        <v>0</v>
      </c>
      <c r="Q1165" s="0" t="n">
        <f aca="false">Q1164+P1165</f>
        <v>7</v>
      </c>
    </row>
    <row r="1166" customFormat="false" ht="15" hidden="false" customHeight="false" outlineLevel="0" collapsed="false">
      <c r="C1166" s="0" t="n">
        <f aca="false">IF(AND(Comments!B1164='Policy card'!$C$3,Comments!N1164="Open"),1,0)</f>
        <v>0</v>
      </c>
      <c r="D1166" s="0" t="str">
        <f aca="false">IF(C1166=1,E1166,IF(P1166=1,$E$2003+Q1166,""))</f>
        <v/>
      </c>
      <c r="E1166" s="0" t="n">
        <f aca="false">E1165+C1166</f>
        <v>0</v>
      </c>
      <c r="P1166" s="0" t="n">
        <f aca="false">IF(AND(Comments!B1164='Policy card'!$C$3,Comments!N1164="Closed"),1,0)</f>
        <v>0</v>
      </c>
      <c r="Q1166" s="0" t="n">
        <f aca="false">Q1165+P1166</f>
        <v>7</v>
      </c>
    </row>
    <row r="1167" customFormat="false" ht="15" hidden="false" customHeight="false" outlineLevel="0" collapsed="false">
      <c r="C1167" s="0" t="n">
        <f aca="false">IF(AND(Comments!B1165='Policy card'!$C$3,Comments!N1165="Open"),1,0)</f>
        <v>0</v>
      </c>
      <c r="D1167" s="0" t="str">
        <f aca="false">IF(C1167=1,E1167,IF(P1167=1,$E$2003+Q1167,""))</f>
        <v/>
      </c>
      <c r="E1167" s="0" t="n">
        <f aca="false">E1166+C1167</f>
        <v>0</v>
      </c>
      <c r="P1167" s="0" t="n">
        <f aca="false">IF(AND(Comments!B1165='Policy card'!$C$3,Comments!N1165="Closed"),1,0)</f>
        <v>0</v>
      </c>
      <c r="Q1167" s="0" t="n">
        <f aca="false">Q1166+P1167</f>
        <v>7</v>
      </c>
    </row>
    <row r="1168" customFormat="false" ht="15" hidden="false" customHeight="false" outlineLevel="0" collapsed="false">
      <c r="C1168" s="0" t="n">
        <f aca="false">IF(AND(Comments!B1166='Policy card'!$C$3,Comments!N1166="Open"),1,0)</f>
        <v>0</v>
      </c>
      <c r="D1168" s="0" t="str">
        <f aca="false">IF(C1168=1,E1168,IF(P1168=1,$E$2003+Q1168,""))</f>
        <v/>
      </c>
      <c r="E1168" s="0" t="n">
        <f aca="false">E1167+C1168</f>
        <v>0</v>
      </c>
      <c r="P1168" s="0" t="n">
        <f aca="false">IF(AND(Comments!B1166='Policy card'!$C$3,Comments!N1166="Closed"),1,0)</f>
        <v>0</v>
      </c>
      <c r="Q1168" s="0" t="n">
        <f aca="false">Q1167+P1168</f>
        <v>7</v>
      </c>
    </row>
    <row r="1169" customFormat="false" ht="15" hidden="false" customHeight="false" outlineLevel="0" collapsed="false">
      <c r="C1169" s="0" t="n">
        <f aca="false">IF(AND(Comments!B1167='Policy card'!$C$3,Comments!N1167="Open"),1,0)</f>
        <v>0</v>
      </c>
      <c r="D1169" s="0" t="str">
        <f aca="false">IF(C1169=1,E1169,IF(P1169=1,$E$2003+Q1169,""))</f>
        <v/>
      </c>
      <c r="E1169" s="0" t="n">
        <f aca="false">E1168+C1169</f>
        <v>0</v>
      </c>
      <c r="P1169" s="0" t="n">
        <f aca="false">IF(AND(Comments!B1167='Policy card'!$C$3,Comments!N1167="Closed"),1,0)</f>
        <v>0</v>
      </c>
      <c r="Q1169" s="0" t="n">
        <f aca="false">Q1168+P1169</f>
        <v>7</v>
      </c>
    </row>
    <row r="1170" customFormat="false" ht="15" hidden="false" customHeight="false" outlineLevel="0" collapsed="false">
      <c r="C1170" s="0" t="n">
        <f aca="false">IF(AND(Comments!B1168='Policy card'!$C$3,Comments!N1168="Open"),1,0)</f>
        <v>0</v>
      </c>
      <c r="D1170" s="0" t="str">
        <f aca="false">IF(C1170=1,E1170,IF(P1170=1,$E$2003+Q1170,""))</f>
        <v/>
      </c>
      <c r="E1170" s="0" t="n">
        <f aca="false">E1169+C1170</f>
        <v>0</v>
      </c>
      <c r="P1170" s="0" t="n">
        <f aca="false">IF(AND(Comments!B1168='Policy card'!$C$3,Comments!N1168="Closed"),1,0)</f>
        <v>0</v>
      </c>
      <c r="Q1170" s="0" t="n">
        <f aca="false">Q1169+P1170</f>
        <v>7</v>
      </c>
    </row>
    <row r="1171" customFormat="false" ht="15" hidden="false" customHeight="false" outlineLevel="0" collapsed="false">
      <c r="C1171" s="0" t="n">
        <f aca="false">IF(AND(Comments!B1169='Policy card'!$C$3,Comments!N1169="Open"),1,0)</f>
        <v>0</v>
      </c>
      <c r="D1171" s="0" t="str">
        <f aca="false">IF(C1171=1,E1171,IF(P1171=1,$E$2003+Q1171,""))</f>
        <v/>
      </c>
      <c r="E1171" s="0" t="n">
        <f aca="false">E1170+C1171</f>
        <v>0</v>
      </c>
      <c r="P1171" s="0" t="n">
        <f aca="false">IF(AND(Comments!B1169='Policy card'!$C$3,Comments!N1169="Closed"),1,0)</f>
        <v>0</v>
      </c>
      <c r="Q1171" s="0" t="n">
        <f aca="false">Q1170+P1171</f>
        <v>7</v>
      </c>
    </row>
    <row r="1172" customFormat="false" ht="15" hidden="false" customHeight="false" outlineLevel="0" collapsed="false">
      <c r="C1172" s="0" t="n">
        <f aca="false">IF(AND(Comments!B1170='Policy card'!$C$3,Comments!N1170="Open"),1,0)</f>
        <v>0</v>
      </c>
      <c r="D1172" s="0" t="str">
        <f aca="false">IF(C1172=1,E1172,IF(P1172=1,$E$2003+Q1172,""))</f>
        <v/>
      </c>
      <c r="E1172" s="0" t="n">
        <f aca="false">E1171+C1172</f>
        <v>0</v>
      </c>
      <c r="P1172" s="0" t="n">
        <f aca="false">IF(AND(Comments!B1170='Policy card'!$C$3,Comments!N1170="Closed"),1,0)</f>
        <v>0</v>
      </c>
      <c r="Q1172" s="0" t="n">
        <f aca="false">Q1171+P1172</f>
        <v>7</v>
      </c>
    </row>
    <row r="1173" customFormat="false" ht="15" hidden="false" customHeight="false" outlineLevel="0" collapsed="false">
      <c r="C1173" s="0" t="n">
        <f aca="false">IF(AND(Comments!B1171='Policy card'!$C$3,Comments!N1171="Open"),1,0)</f>
        <v>0</v>
      </c>
      <c r="D1173" s="0" t="str">
        <f aca="false">IF(C1173=1,E1173,IF(P1173=1,$E$2003+Q1173,""))</f>
        <v/>
      </c>
      <c r="E1173" s="0" t="n">
        <f aca="false">E1172+C1173</f>
        <v>0</v>
      </c>
      <c r="P1173" s="0" t="n">
        <f aca="false">IF(AND(Comments!B1171='Policy card'!$C$3,Comments!N1171="Closed"),1,0)</f>
        <v>0</v>
      </c>
      <c r="Q1173" s="0" t="n">
        <f aca="false">Q1172+P1173</f>
        <v>7</v>
      </c>
    </row>
    <row r="1174" customFormat="false" ht="15" hidden="false" customHeight="false" outlineLevel="0" collapsed="false">
      <c r="C1174" s="0" t="n">
        <f aca="false">IF(AND(Comments!B1172='Policy card'!$C$3,Comments!N1172="Open"),1,0)</f>
        <v>0</v>
      </c>
      <c r="D1174" s="0" t="str">
        <f aca="false">IF(C1174=1,E1174,IF(P1174=1,$E$2003+Q1174,""))</f>
        <v/>
      </c>
      <c r="E1174" s="0" t="n">
        <f aca="false">E1173+C1174</f>
        <v>0</v>
      </c>
      <c r="P1174" s="0" t="n">
        <f aca="false">IF(AND(Comments!B1172='Policy card'!$C$3,Comments!N1172="Closed"),1,0)</f>
        <v>0</v>
      </c>
      <c r="Q1174" s="0" t="n">
        <f aca="false">Q1173+P1174</f>
        <v>7</v>
      </c>
    </row>
    <row r="1175" customFormat="false" ht="15" hidden="false" customHeight="false" outlineLevel="0" collapsed="false">
      <c r="C1175" s="0" t="n">
        <f aca="false">IF(AND(Comments!B1173='Policy card'!$C$3,Comments!N1173="Open"),1,0)</f>
        <v>0</v>
      </c>
      <c r="D1175" s="0" t="str">
        <f aca="false">IF(C1175=1,E1175,IF(P1175=1,$E$2003+Q1175,""))</f>
        <v/>
      </c>
      <c r="E1175" s="0" t="n">
        <f aca="false">E1174+C1175</f>
        <v>0</v>
      </c>
      <c r="P1175" s="0" t="n">
        <f aca="false">IF(AND(Comments!B1173='Policy card'!$C$3,Comments!N1173="Closed"),1,0)</f>
        <v>0</v>
      </c>
      <c r="Q1175" s="0" t="n">
        <f aca="false">Q1174+P1175</f>
        <v>7</v>
      </c>
    </row>
    <row r="1176" customFormat="false" ht="15" hidden="false" customHeight="false" outlineLevel="0" collapsed="false">
      <c r="C1176" s="0" t="n">
        <f aca="false">IF(AND(Comments!B1174='Policy card'!$C$3,Comments!N1174="Open"),1,0)</f>
        <v>0</v>
      </c>
      <c r="D1176" s="0" t="str">
        <f aca="false">IF(C1176=1,E1176,IF(P1176=1,$E$2003+Q1176,""))</f>
        <v/>
      </c>
      <c r="E1176" s="0" t="n">
        <f aca="false">E1175+C1176</f>
        <v>0</v>
      </c>
      <c r="P1176" s="0" t="n">
        <f aca="false">IF(AND(Comments!B1174='Policy card'!$C$3,Comments!N1174="Closed"),1,0)</f>
        <v>0</v>
      </c>
      <c r="Q1176" s="0" t="n">
        <f aca="false">Q1175+P1176</f>
        <v>7</v>
      </c>
    </row>
    <row r="1177" customFormat="false" ht="15" hidden="false" customHeight="false" outlineLevel="0" collapsed="false">
      <c r="C1177" s="0" t="n">
        <f aca="false">IF(AND(Comments!B1175='Policy card'!$C$3,Comments!N1175="Open"),1,0)</f>
        <v>0</v>
      </c>
      <c r="D1177" s="0" t="str">
        <f aca="false">IF(C1177=1,E1177,IF(P1177=1,$E$2003+Q1177,""))</f>
        <v/>
      </c>
      <c r="E1177" s="0" t="n">
        <f aca="false">E1176+C1177</f>
        <v>0</v>
      </c>
      <c r="P1177" s="0" t="n">
        <f aca="false">IF(AND(Comments!B1175='Policy card'!$C$3,Comments!N1175="Closed"),1,0)</f>
        <v>0</v>
      </c>
      <c r="Q1177" s="0" t="n">
        <f aca="false">Q1176+P1177</f>
        <v>7</v>
      </c>
    </row>
    <row r="1178" customFormat="false" ht="15" hidden="false" customHeight="false" outlineLevel="0" collapsed="false">
      <c r="C1178" s="0" t="n">
        <f aca="false">IF(AND(Comments!B1176='Policy card'!$C$3,Comments!N1176="Open"),1,0)</f>
        <v>0</v>
      </c>
      <c r="D1178" s="0" t="str">
        <f aca="false">IF(C1178=1,E1178,IF(P1178=1,$E$2003+Q1178,""))</f>
        <v/>
      </c>
      <c r="E1178" s="0" t="n">
        <f aca="false">E1177+C1178</f>
        <v>0</v>
      </c>
      <c r="P1178" s="0" t="n">
        <f aca="false">IF(AND(Comments!B1176='Policy card'!$C$3,Comments!N1176="Closed"),1,0)</f>
        <v>0</v>
      </c>
      <c r="Q1178" s="0" t="n">
        <f aca="false">Q1177+P1178</f>
        <v>7</v>
      </c>
    </row>
    <row r="1179" customFormat="false" ht="15" hidden="false" customHeight="false" outlineLevel="0" collapsed="false">
      <c r="C1179" s="0" t="n">
        <f aca="false">IF(AND(Comments!B1177='Policy card'!$C$3,Comments!N1177="Open"),1,0)</f>
        <v>0</v>
      </c>
      <c r="D1179" s="0" t="str">
        <f aca="false">IF(C1179=1,E1179,IF(P1179=1,$E$2003+Q1179,""))</f>
        <v/>
      </c>
      <c r="E1179" s="0" t="n">
        <f aca="false">E1178+C1179</f>
        <v>0</v>
      </c>
      <c r="P1179" s="0" t="n">
        <f aca="false">IF(AND(Comments!B1177='Policy card'!$C$3,Comments!N1177="Closed"),1,0)</f>
        <v>0</v>
      </c>
      <c r="Q1179" s="0" t="n">
        <f aca="false">Q1178+P1179</f>
        <v>7</v>
      </c>
    </row>
    <row r="1180" customFormat="false" ht="15" hidden="false" customHeight="false" outlineLevel="0" collapsed="false">
      <c r="C1180" s="0" t="n">
        <f aca="false">IF(AND(Comments!B1178='Policy card'!$C$3,Comments!N1178="Open"),1,0)</f>
        <v>0</v>
      </c>
      <c r="D1180" s="0" t="str">
        <f aca="false">IF(C1180=1,E1180,IF(P1180=1,$E$2003+Q1180,""))</f>
        <v/>
      </c>
      <c r="E1180" s="0" t="n">
        <f aca="false">E1179+C1180</f>
        <v>0</v>
      </c>
      <c r="P1180" s="0" t="n">
        <f aca="false">IF(AND(Comments!B1178='Policy card'!$C$3,Comments!N1178="Closed"),1,0)</f>
        <v>0</v>
      </c>
      <c r="Q1180" s="0" t="n">
        <f aca="false">Q1179+P1180</f>
        <v>7</v>
      </c>
    </row>
    <row r="1181" customFormat="false" ht="15" hidden="false" customHeight="false" outlineLevel="0" collapsed="false">
      <c r="C1181" s="0" t="n">
        <f aca="false">IF(AND(Comments!B1179='Policy card'!$C$3,Comments!N1179="Open"),1,0)</f>
        <v>0</v>
      </c>
      <c r="D1181" s="0" t="str">
        <f aca="false">IF(C1181=1,E1181,IF(P1181=1,$E$2003+Q1181,""))</f>
        <v/>
      </c>
      <c r="E1181" s="0" t="n">
        <f aca="false">E1180+C1181</f>
        <v>0</v>
      </c>
      <c r="P1181" s="0" t="n">
        <f aca="false">IF(AND(Comments!B1179='Policy card'!$C$3,Comments!N1179="Closed"),1,0)</f>
        <v>0</v>
      </c>
      <c r="Q1181" s="0" t="n">
        <f aca="false">Q1180+P1181</f>
        <v>7</v>
      </c>
    </row>
    <row r="1182" customFormat="false" ht="15" hidden="false" customHeight="false" outlineLevel="0" collapsed="false">
      <c r="C1182" s="0" t="n">
        <f aca="false">IF(AND(Comments!B1180='Policy card'!$C$3,Comments!N1180="Open"),1,0)</f>
        <v>0</v>
      </c>
      <c r="D1182" s="0" t="str">
        <f aca="false">IF(C1182=1,E1182,IF(P1182=1,$E$2003+Q1182,""))</f>
        <v/>
      </c>
      <c r="E1182" s="0" t="n">
        <f aca="false">E1181+C1182</f>
        <v>0</v>
      </c>
      <c r="P1182" s="0" t="n">
        <f aca="false">IF(AND(Comments!B1180='Policy card'!$C$3,Comments!N1180="Closed"),1,0)</f>
        <v>0</v>
      </c>
      <c r="Q1182" s="0" t="n">
        <f aca="false">Q1181+P1182</f>
        <v>7</v>
      </c>
    </row>
    <row r="1183" customFormat="false" ht="15" hidden="false" customHeight="false" outlineLevel="0" collapsed="false">
      <c r="C1183" s="0" t="n">
        <f aca="false">IF(AND(Comments!B1181='Policy card'!$C$3,Comments!N1181="Open"),1,0)</f>
        <v>0</v>
      </c>
      <c r="D1183" s="0" t="str">
        <f aca="false">IF(C1183=1,E1183,IF(P1183=1,$E$2003+Q1183,""))</f>
        <v/>
      </c>
      <c r="E1183" s="0" t="n">
        <f aca="false">E1182+C1183</f>
        <v>0</v>
      </c>
      <c r="P1183" s="0" t="n">
        <f aca="false">IF(AND(Comments!B1181='Policy card'!$C$3,Comments!N1181="Closed"),1,0)</f>
        <v>0</v>
      </c>
      <c r="Q1183" s="0" t="n">
        <f aca="false">Q1182+P1183</f>
        <v>7</v>
      </c>
    </row>
    <row r="1184" customFormat="false" ht="15" hidden="false" customHeight="false" outlineLevel="0" collapsed="false">
      <c r="C1184" s="0" t="n">
        <f aca="false">IF(AND(Comments!B1182='Policy card'!$C$3,Comments!N1182="Open"),1,0)</f>
        <v>0</v>
      </c>
      <c r="D1184" s="0" t="str">
        <f aca="false">IF(C1184=1,E1184,IF(P1184=1,$E$2003+Q1184,""))</f>
        <v/>
      </c>
      <c r="E1184" s="0" t="n">
        <f aca="false">E1183+C1184</f>
        <v>0</v>
      </c>
      <c r="P1184" s="0" t="n">
        <f aca="false">IF(AND(Comments!B1182='Policy card'!$C$3,Comments!N1182="Closed"),1,0)</f>
        <v>0</v>
      </c>
      <c r="Q1184" s="0" t="n">
        <f aca="false">Q1183+P1184</f>
        <v>7</v>
      </c>
    </row>
    <row r="1185" customFormat="false" ht="15" hidden="false" customHeight="false" outlineLevel="0" collapsed="false">
      <c r="C1185" s="0" t="n">
        <f aca="false">IF(AND(Comments!B1183='Policy card'!$C$3,Comments!N1183="Open"),1,0)</f>
        <v>0</v>
      </c>
      <c r="D1185" s="0" t="str">
        <f aca="false">IF(C1185=1,E1185,IF(P1185=1,$E$2003+Q1185,""))</f>
        <v/>
      </c>
      <c r="E1185" s="0" t="n">
        <f aca="false">E1184+C1185</f>
        <v>0</v>
      </c>
      <c r="P1185" s="0" t="n">
        <f aca="false">IF(AND(Comments!B1183='Policy card'!$C$3,Comments!N1183="Closed"),1,0)</f>
        <v>0</v>
      </c>
      <c r="Q1185" s="0" t="n">
        <f aca="false">Q1184+P1185</f>
        <v>7</v>
      </c>
    </row>
    <row r="1186" customFormat="false" ht="15" hidden="false" customHeight="false" outlineLevel="0" collapsed="false">
      <c r="C1186" s="0" t="n">
        <f aca="false">IF(AND(Comments!B1184='Policy card'!$C$3,Comments!N1184="Open"),1,0)</f>
        <v>0</v>
      </c>
      <c r="D1186" s="0" t="str">
        <f aca="false">IF(C1186=1,E1186,IF(P1186=1,$E$2003+Q1186,""))</f>
        <v/>
      </c>
      <c r="E1186" s="0" t="n">
        <f aca="false">E1185+C1186</f>
        <v>0</v>
      </c>
      <c r="P1186" s="0" t="n">
        <f aca="false">IF(AND(Comments!B1184='Policy card'!$C$3,Comments!N1184="Closed"),1,0)</f>
        <v>0</v>
      </c>
      <c r="Q1186" s="0" t="n">
        <f aca="false">Q1185+P1186</f>
        <v>7</v>
      </c>
    </row>
    <row r="1187" customFormat="false" ht="15" hidden="false" customHeight="false" outlineLevel="0" collapsed="false">
      <c r="C1187" s="0" t="n">
        <f aca="false">IF(AND(Comments!B1185='Policy card'!$C$3,Comments!N1185="Open"),1,0)</f>
        <v>0</v>
      </c>
      <c r="D1187" s="0" t="str">
        <f aca="false">IF(C1187=1,E1187,IF(P1187=1,$E$2003+Q1187,""))</f>
        <v/>
      </c>
      <c r="E1187" s="0" t="n">
        <f aca="false">E1186+C1187</f>
        <v>0</v>
      </c>
      <c r="P1187" s="0" t="n">
        <f aca="false">IF(AND(Comments!B1185='Policy card'!$C$3,Comments!N1185="Closed"),1,0)</f>
        <v>0</v>
      </c>
      <c r="Q1187" s="0" t="n">
        <f aca="false">Q1186+P1187</f>
        <v>7</v>
      </c>
    </row>
    <row r="1188" customFormat="false" ht="15" hidden="false" customHeight="false" outlineLevel="0" collapsed="false">
      <c r="C1188" s="0" t="n">
        <f aca="false">IF(AND(Comments!B1186='Policy card'!$C$3,Comments!N1186="Open"),1,0)</f>
        <v>0</v>
      </c>
      <c r="D1188" s="0" t="str">
        <f aca="false">IF(C1188=1,E1188,IF(P1188=1,$E$2003+Q1188,""))</f>
        <v/>
      </c>
      <c r="E1188" s="0" t="n">
        <f aca="false">E1187+C1188</f>
        <v>0</v>
      </c>
      <c r="P1188" s="0" t="n">
        <f aca="false">IF(AND(Comments!B1186='Policy card'!$C$3,Comments!N1186="Closed"),1,0)</f>
        <v>0</v>
      </c>
      <c r="Q1188" s="0" t="n">
        <f aca="false">Q1187+P1188</f>
        <v>7</v>
      </c>
    </row>
    <row r="1189" customFormat="false" ht="15" hidden="false" customHeight="false" outlineLevel="0" collapsed="false">
      <c r="C1189" s="0" t="n">
        <f aca="false">IF(AND(Comments!B1187='Policy card'!$C$3,Comments!N1187="Open"),1,0)</f>
        <v>0</v>
      </c>
      <c r="D1189" s="0" t="str">
        <f aca="false">IF(C1189=1,E1189,IF(P1189=1,$E$2003+Q1189,""))</f>
        <v/>
      </c>
      <c r="E1189" s="0" t="n">
        <f aca="false">E1188+C1189</f>
        <v>0</v>
      </c>
      <c r="P1189" s="0" t="n">
        <f aca="false">IF(AND(Comments!B1187='Policy card'!$C$3,Comments!N1187="Closed"),1,0)</f>
        <v>0</v>
      </c>
      <c r="Q1189" s="0" t="n">
        <f aca="false">Q1188+P1189</f>
        <v>7</v>
      </c>
    </row>
    <row r="1190" customFormat="false" ht="15" hidden="false" customHeight="false" outlineLevel="0" collapsed="false">
      <c r="C1190" s="0" t="n">
        <f aca="false">IF(AND(Comments!B1188='Policy card'!$C$3,Comments!N1188="Open"),1,0)</f>
        <v>0</v>
      </c>
      <c r="D1190" s="0" t="str">
        <f aca="false">IF(C1190=1,E1190,IF(P1190=1,$E$2003+Q1190,""))</f>
        <v/>
      </c>
      <c r="E1190" s="0" t="n">
        <f aca="false">E1189+C1190</f>
        <v>0</v>
      </c>
      <c r="P1190" s="0" t="n">
        <f aca="false">IF(AND(Comments!B1188='Policy card'!$C$3,Comments!N1188="Closed"),1,0)</f>
        <v>0</v>
      </c>
      <c r="Q1190" s="0" t="n">
        <f aca="false">Q1189+P1190</f>
        <v>7</v>
      </c>
    </row>
    <row r="1191" customFormat="false" ht="15" hidden="false" customHeight="false" outlineLevel="0" collapsed="false">
      <c r="C1191" s="0" t="n">
        <f aca="false">IF(AND(Comments!B1189='Policy card'!$C$3,Comments!N1189="Open"),1,0)</f>
        <v>0</v>
      </c>
      <c r="D1191" s="0" t="str">
        <f aca="false">IF(C1191=1,E1191,IF(P1191=1,$E$2003+Q1191,""))</f>
        <v/>
      </c>
      <c r="E1191" s="0" t="n">
        <f aca="false">E1190+C1191</f>
        <v>0</v>
      </c>
      <c r="P1191" s="0" t="n">
        <f aca="false">IF(AND(Comments!B1189='Policy card'!$C$3,Comments!N1189="Closed"),1,0)</f>
        <v>0</v>
      </c>
      <c r="Q1191" s="0" t="n">
        <f aca="false">Q1190+P1191</f>
        <v>7</v>
      </c>
    </row>
    <row r="1192" customFormat="false" ht="15" hidden="false" customHeight="false" outlineLevel="0" collapsed="false">
      <c r="C1192" s="0" t="n">
        <f aca="false">IF(AND(Comments!B1190='Policy card'!$C$3,Comments!N1190="Open"),1,0)</f>
        <v>0</v>
      </c>
      <c r="D1192" s="0" t="str">
        <f aca="false">IF(C1192=1,E1192,IF(P1192=1,$E$2003+Q1192,""))</f>
        <v/>
      </c>
      <c r="E1192" s="0" t="n">
        <f aca="false">E1191+C1192</f>
        <v>0</v>
      </c>
      <c r="P1192" s="0" t="n">
        <f aca="false">IF(AND(Comments!B1190='Policy card'!$C$3,Comments!N1190="Closed"),1,0)</f>
        <v>0</v>
      </c>
      <c r="Q1192" s="0" t="n">
        <f aca="false">Q1191+P1192</f>
        <v>7</v>
      </c>
    </row>
    <row r="1193" customFormat="false" ht="15" hidden="false" customHeight="false" outlineLevel="0" collapsed="false">
      <c r="C1193" s="0" t="n">
        <f aca="false">IF(AND(Comments!B1191='Policy card'!$C$3,Comments!N1191="Open"),1,0)</f>
        <v>0</v>
      </c>
      <c r="D1193" s="0" t="str">
        <f aca="false">IF(C1193=1,E1193,IF(P1193=1,$E$2003+Q1193,""))</f>
        <v/>
      </c>
      <c r="E1193" s="0" t="n">
        <f aca="false">E1192+C1193</f>
        <v>0</v>
      </c>
      <c r="P1193" s="0" t="n">
        <f aca="false">IF(AND(Comments!B1191='Policy card'!$C$3,Comments!N1191="Closed"),1,0)</f>
        <v>0</v>
      </c>
      <c r="Q1193" s="0" t="n">
        <f aca="false">Q1192+P1193</f>
        <v>7</v>
      </c>
    </row>
    <row r="1194" customFormat="false" ht="15" hidden="false" customHeight="false" outlineLevel="0" collapsed="false">
      <c r="C1194" s="0" t="n">
        <f aca="false">IF(AND(Comments!B1192='Policy card'!$C$3,Comments!N1192="Open"),1,0)</f>
        <v>0</v>
      </c>
      <c r="D1194" s="0" t="str">
        <f aca="false">IF(C1194=1,E1194,IF(P1194=1,$E$2003+Q1194,""))</f>
        <v/>
      </c>
      <c r="E1194" s="0" t="n">
        <f aca="false">E1193+C1194</f>
        <v>0</v>
      </c>
      <c r="P1194" s="0" t="n">
        <f aca="false">IF(AND(Comments!B1192='Policy card'!$C$3,Comments!N1192="Closed"),1,0)</f>
        <v>0</v>
      </c>
      <c r="Q1194" s="0" t="n">
        <f aca="false">Q1193+P1194</f>
        <v>7</v>
      </c>
    </row>
    <row r="1195" customFormat="false" ht="15" hidden="false" customHeight="false" outlineLevel="0" collapsed="false">
      <c r="C1195" s="0" t="n">
        <f aca="false">IF(AND(Comments!B1193='Policy card'!$C$3,Comments!N1193="Open"),1,0)</f>
        <v>0</v>
      </c>
      <c r="D1195" s="0" t="str">
        <f aca="false">IF(C1195=1,E1195,IF(P1195=1,$E$2003+Q1195,""))</f>
        <v/>
      </c>
      <c r="E1195" s="0" t="n">
        <f aca="false">E1194+C1195</f>
        <v>0</v>
      </c>
      <c r="P1195" s="0" t="n">
        <f aca="false">IF(AND(Comments!B1193='Policy card'!$C$3,Comments!N1193="Closed"),1,0)</f>
        <v>0</v>
      </c>
      <c r="Q1195" s="0" t="n">
        <f aca="false">Q1194+P1195</f>
        <v>7</v>
      </c>
    </row>
    <row r="1196" customFormat="false" ht="15" hidden="false" customHeight="false" outlineLevel="0" collapsed="false">
      <c r="C1196" s="0" t="n">
        <f aca="false">IF(AND(Comments!B1194='Policy card'!$C$3,Comments!N1194="Open"),1,0)</f>
        <v>0</v>
      </c>
      <c r="D1196" s="0" t="str">
        <f aca="false">IF(C1196=1,E1196,IF(P1196=1,$E$2003+Q1196,""))</f>
        <v/>
      </c>
      <c r="E1196" s="0" t="n">
        <f aca="false">E1195+C1196</f>
        <v>0</v>
      </c>
      <c r="P1196" s="0" t="n">
        <f aca="false">IF(AND(Comments!B1194='Policy card'!$C$3,Comments!N1194="Closed"),1,0)</f>
        <v>0</v>
      </c>
      <c r="Q1196" s="0" t="n">
        <f aca="false">Q1195+P1196</f>
        <v>7</v>
      </c>
    </row>
    <row r="1197" customFormat="false" ht="15" hidden="false" customHeight="false" outlineLevel="0" collapsed="false">
      <c r="C1197" s="0" t="n">
        <f aca="false">IF(AND(Comments!B1195='Policy card'!$C$3,Comments!N1195="Open"),1,0)</f>
        <v>0</v>
      </c>
      <c r="D1197" s="0" t="str">
        <f aca="false">IF(C1197=1,E1197,IF(P1197=1,$E$2003+Q1197,""))</f>
        <v/>
      </c>
      <c r="E1197" s="0" t="n">
        <f aca="false">E1196+C1197</f>
        <v>0</v>
      </c>
      <c r="P1197" s="0" t="n">
        <f aca="false">IF(AND(Comments!B1195='Policy card'!$C$3,Comments!N1195="Closed"),1,0)</f>
        <v>0</v>
      </c>
      <c r="Q1197" s="0" t="n">
        <f aca="false">Q1196+P1197</f>
        <v>7</v>
      </c>
    </row>
    <row r="1198" customFormat="false" ht="15" hidden="false" customHeight="false" outlineLevel="0" collapsed="false">
      <c r="C1198" s="0" t="n">
        <f aca="false">IF(AND(Comments!B1196='Policy card'!$C$3,Comments!N1196="Open"),1,0)</f>
        <v>0</v>
      </c>
      <c r="D1198" s="0" t="str">
        <f aca="false">IF(C1198=1,E1198,IF(P1198=1,$E$2003+Q1198,""))</f>
        <v/>
      </c>
      <c r="E1198" s="0" t="n">
        <f aca="false">E1197+C1198</f>
        <v>0</v>
      </c>
      <c r="P1198" s="0" t="n">
        <f aca="false">IF(AND(Comments!B1196='Policy card'!$C$3,Comments!N1196="Closed"),1,0)</f>
        <v>0</v>
      </c>
      <c r="Q1198" s="0" t="n">
        <f aca="false">Q1197+P1198</f>
        <v>7</v>
      </c>
    </row>
    <row r="1199" customFormat="false" ht="15" hidden="false" customHeight="false" outlineLevel="0" collapsed="false">
      <c r="C1199" s="0" t="n">
        <f aca="false">IF(AND(Comments!B1197='Policy card'!$C$3,Comments!N1197="Open"),1,0)</f>
        <v>0</v>
      </c>
      <c r="D1199" s="0" t="str">
        <f aca="false">IF(C1199=1,E1199,IF(P1199=1,$E$2003+Q1199,""))</f>
        <v/>
      </c>
      <c r="E1199" s="0" t="n">
        <f aca="false">E1198+C1199</f>
        <v>0</v>
      </c>
      <c r="P1199" s="0" t="n">
        <f aca="false">IF(AND(Comments!B1197='Policy card'!$C$3,Comments!N1197="Closed"),1,0)</f>
        <v>0</v>
      </c>
      <c r="Q1199" s="0" t="n">
        <f aca="false">Q1198+P1199</f>
        <v>7</v>
      </c>
    </row>
    <row r="1200" customFormat="false" ht="15" hidden="false" customHeight="false" outlineLevel="0" collapsed="false">
      <c r="C1200" s="0" t="n">
        <f aca="false">IF(AND(Comments!B1198='Policy card'!$C$3,Comments!N1198="Open"),1,0)</f>
        <v>0</v>
      </c>
      <c r="D1200" s="0" t="str">
        <f aca="false">IF(C1200=1,E1200,IF(P1200=1,$E$2003+Q1200,""))</f>
        <v/>
      </c>
      <c r="E1200" s="0" t="n">
        <f aca="false">E1199+C1200</f>
        <v>0</v>
      </c>
      <c r="P1200" s="0" t="n">
        <f aca="false">IF(AND(Comments!B1198='Policy card'!$C$3,Comments!N1198="Closed"),1,0)</f>
        <v>0</v>
      </c>
      <c r="Q1200" s="0" t="n">
        <f aca="false">Q1199+P1200</f>
        <v>7</v>
      </c>
    </row>
    <row r="1201" customFormat="false" ht="15" hidden="false" customHeight="false" outlineLevel="0" collapsed="false">
      <c r="C1201" s="0" t="n">
        <f aca="false">IF(AND(Comments!B1199='Policy card'!$C$3,Comments!N1199="Open"),1,0)</f>
        <v>0</v>
      </c>
      <c r="D1201" s="0" t="str">
        <f aca="false">IF(C1201=1,E1201,IF(P1201=1,$E$2003+Q1201,""))</f>
        <v/>
      </c>
      <c r="E1201" s="0" t="n">
        <f aca="false">E1200+C1201</f>
        <v>0</v>
      </c>
      <c r="P1201" s="0" t="n">
        <f aca="false">IF(AND(Comments!B1199='Policy card'!$C$3,Comments!N1199="Closed"),1,0)</f>
        <v>0</v>
      </c>
      <c r="Q1201" s="0" t="n">
        <f aca="false">Q1200+P1201</f>
        <v>7</v>
      </c>
    </row>
    <row r="1202" customFormat="false" ht="15" hidden="false" customHeight="false" outlineLevel="0" collapsed="false">
      <c r="C1202" s="0" t="n">
        <f aca="false">IF(AND(Comments!B1200='Policy card'!$C$3,Comments!N1200="Open"),1,0)</f>
        <v>0</v>
      </c>
      <c r="D1202" s="0" t="str">
        <f aca="false">IF(C1202=1,E1202,IF(P1202=1,$E$2003+Q1202,""))</f>
        <v/>
      </c>
      <c r="E1202" s="0" t="n">
        <f aca="false">E1201+C1202</f>
        <v>0</v>
      </c>
      <c r="P1202" s="0" t="n">
        <f aca="false">IF(AND(Comments!B1200='Policy card'!$C$3,Comments!N1200="Closed"),1,0)</f>
        <v>0</v>
      </c>
      <c r="Q1202" s="0" t="n">
        <f aca="false">Q1201+P1202</f>
        <v>7</v>
      </c>
    </row>
    <row r="1203" customFormat="false" ht="15" hidden="false" customHeight="false" outlineLevel="0" collapsed="false">
      <c r="C1203" s="0" t="n">
        <f aca="false">IF(AND(Comments!B1201='Policy card'!$C$3,Comments!N1201="Open"),1,0)</f>
        <v>0</v>
      </c>
      <c r="D1203" s="0" t="str">
        <f aca="false">IF(C1203=1,E1203,IF(P1203=1,$E$2003+Q1203,""))</f>
        <v/>
      </c>
      <c r="E1203" s="0" t="n">
        <f aca="false">E1202+C1203</f>
        <v>0</v>
      </c>
      <c r="P1203" s="0" t="n">
        <f aca="false">IF(AND(Comments!B1201='Policy card'!$C$3,Comments!N1201="Closed"),1,0)</f>
        <v>0</v>
      </c>
      <c r="Q1203" s="0" t="n">
        <f aca="false">Q1202+P1203</f>
        <v>7</v>
      </c>
    </row>
    <row r="1204" customFormat="false" ht="15" hidden="false" customHeight="false" outlineLevel="0" collapsed="false">
      <c r="C1204" s="0" t="n">
        <f aca="false">IF(AND(Comments!B1202='Policy card'!$C$3,Comments!N1202="Open"),1,0)</f>
        <v>0</v>
      </c>
      <c r="D1204" s="0" t="str">
        <f aca="false">IF(C1204=1,E1204,IF(P1204=1,$E$2003+Q1204,""))</f>
        <v/>
      </c>
      <c r="E1204" s="0" t="n">
        <f aca="false">E1203+C1204</f>
        <v>0</v>
      </c>
      <c r="P1204" s="0" t="n">
        <f aca="false">IF(AND(Comments!B1202='Policy card'!$C$3,Comments!N1202="Closed"),1,0)</f>
        <v>0</v>
      </c>
      <c r="Q1204" s="0" t="n">
        <f aca="false">Q1203+P1204</f>
        <v>7</v>
      </c>
    </row>
    <row r="1205" customFormat="false" ht="15" hidden="false" customHeight="false" outlineLevel="0" collapsed="false">
      <c r="C1205" s="0" t="n">
        <f aca="false">IF(AND(Comments!B1203='Policy card'!$C$3,Comments!N1203="Open"),1,0)</f>
        <v>0</v>
      </c>
      <c r="D1205" s="0" t="str">
        <f aca="false">IF(C1205=1,E1205,IF(P1205=1,$E$2003+Q1205,""))</f>
        <v/>
      </c>
      <c r="E1205" s="0" t="n">
        <f aca="false">E1204+C1205</f>
        <v>0</v>
      </c>
      <c r="P1205" s="0" t="n">
        <f aca="false">IF(AND(Comments!B1203='Policy card'!$C$3,Comments!N1203="Closed"),1,0)</f>
        <v>0</v>
      </c>
      <c r="Q1205" s="0" t="n">
        <f aca="false">Q1204+P1205</f>
        <v>7</v>
      </c>
    </row>
    <row r="1206" customFormat="false" ht="15" hidden="false" customHeight="false" outlineLevel="0" collapsed="false">
      <c r="C1206" s="0" t="n">
        <f aca="false">IF(AND(Comments!B1204='Policy card'!$C$3,Comments!N1204="Open"),1,0)</f>
        <v>0</v>
      </c>
      <c r="D1206" s="0" t="str">
        <f aca="false">IF(C1206=1,E1206,IF(P1206=1,$E$2003+Q1206,""))</f>
        <v/>
      </c>
      <c r="E1206" s="0" t="n">
        <f aca="false">E1205+C1206</f>
        <v>0</v>
      </c>
      <c r="P1206" s="0" t="n">
        <f aca="false">IF(AND(Comments!B1204='Policy card'!$C$3,Comments!N1204="Closed"),1,0)</f>
        <v>0</v>
      </c>
      <c r="Q1206" s="0" t="n">
        <f aca="false">Q1205+P1206</f>
        <v>7</v>
      </c>
    </row>
    <row r="1207" customFormat="false" ht="15" hidden="false" customHeight="false" outlineLevel="0" collapsed="false">
      <c r="C1207" s="0" t="n">
        <f aca="false">IF(AND(Comments!B1205='Policy card'!$C$3,Comments!N1205="Open"),1,0)</f>
        <v>0</v>
      </c>
      <c r="D1207" s="0" t="str">
        <f aca="false">IF(C1207=1,E1207,IF(P1207=1,$E$2003+Q1207,""))</f>
        <v/>
      </c>
      <c r="E1207" s="0" t="n">
        <f aca="false">E1206+C1207</f>
        <v>0</v>
      </c>
      <c r="P1207" s="0" t="n">
        <f aca="false">IF(AND(Comments!B1205='Policy card'!$C$3,Comments!N1205="Closed"),1,0)</f>
        <v>0</v>
      </c>
      <c r="Q1207" s="0" t="n">
        <f aca="false">Q1206+P1207</f>
        <v>7</v>
      </c>
    </row>
    <row r="1208" customFormat="false" ht="15" hidden="false" customHeight="false" outlineLevel="0" collapsed="false">
      <c r="C1208" s="0" t="n">
        <f aca="false">IF(AND(Comments!B1206='Policy card'!$C$3,Comments!N1206="Open"),1,0)</f>
        <v>0</v>
      </c>
      <c r="D1208" s="0" t="str">
        <f aca="false">IF(C1208=1,E1208,IF(P1208=1,$E$2003+Q1208,""))</f>
        <v/>
      </c>
      <c r="E1208" s="0" t="n">
        <f aca="false">E1207+C1208</f>
        <v>0</v>
      </c>
      <c r="P1208" s="0" t="n">
        <f aca="false">IF(AND(Comments!B1206='Policy card'!$C$3,Comments!N1206="Closed"),1,0)</f>
        <v>0</v>
      </c>
      <c r="Q1208" s="0" t="n">
        <f aca="false">Q1207+P1208</f>
        <v>7</v>
      </c>
    </row>
    <row r="1209" customFormat="false" ht="15" hidden="false" customHeight="false" outlineLevel="0" collapsed="false">
      <c r="C1209" s="0" t="n">
        <f aca="false">IF(AND(Comments!B1207='Policy card'!$C$3,Comments!N1207="Open"),1,0)</f>
        <v>0</v>
      </c>
      <c r="D1209" s="0" t="str">
        <f aca="false">IF(C1209=1,E1209,IF(P1209=1,$E$2003+Q1209,""))</f>
        <v/>
      </c>
      <c r="E1209" s="0" t="n">
        <f aca="false">E1208+C1209</f>
        <v>0</v>
      </c>
      <c r="P1209" s="0" t="n">
        <f aca="false">IF(AND(Comments!B1207='Policy card'!$C$3,Comments!N1207="Closed"),1,0)</f>
        <v>0</v>
      </c>
      <c r="Q1209" s="0" t="n">
        <f aca="false">Q1208+P1209</f>
        <v>7</v>
      </c>
    </row>
    <row r="1210" customFormat="false" ht="15" hidden="false" customHeight="false" outlineLevel="0" collapsed="false">
      <c r="C1210" s="0" t="n">
        <f aca="false">IF(AND(Comments!B1208='Policy card'!$C$3,Comments!N1208="Open"),1,0)</f>
        <v>0</v>
      </c>
      <c r="D1210" s="0" t="str">
        <f aca="false">IF(C1210=1,E1210,IF(P1210=1,$E$2003+Q1210,""))</f>
        <v/>
      </c>
      <c r="E1210" s="0" t="n">
        <f aca="false">E1209+C1210</f>
        <v>0</v>
      </c>
      <c r="P1210" s="0" t="n">
        <f aca="false">IF(AND(Comments!B1208='Policy card'!$C$3,Comments!N1208="Closed"),1,0)</f>
        <v>0</v>
      </c>
      <c r="Q1210" s="0" t="n">
        <f aca="false">Q1209+P1210</f>
        <v>7</v>
      </c>
    </row>
    <row r="1211" customFormat="false" ht="15" hidden="false" customHeight="false" outlineLevel="0" collapsed="false">
      <c r="C1211" s="0" t="n">
        <f aca="false">IF(AND(Comments!B1209='Policy card'!$C$3,Comments!N1209="Open"),1,0)</f>
        <v>0</v>
      </c>
      <c r="D1211" s="0" t="str">
        <f aca="false">IF(C1211=1,E1211,IF(P1211=1,$E$2003+Q1211,""))</f>
        <v/>
      </c>
      <c r="E1211" s="0" t="n">
        <f aca="false">E1210+C1211</f>
        <v>0</v>
      </c>
      <c r="P1211" s="0" t="n">
        <f aca="false">IF(AND(Comments!B1209='Policy card'!$C$3,Comments!N1209="Closed"),1,0)</f>
        <v>0</v>
      </c>
      <c r="Q1211" s="0" t="n">
        <f aca="false">Q1210+P1211</f>
        <v>7</v>
      </c>
    </row>
    <row r="1212" customFormat="false" ht="15" hidden="false" customHeight="false" outlineLevel="0" collapsed="false">
      <c r="C1212" s="0" t="n">
        <f aca="false">IF(AND(Comments!B1210='Policy card'!$C$3,Comments!N1210="Open"),1,0)</f>
        <v>0</v>
      </c>
      <c r="D1212" s="0" t="str">
        <f aca="false">IF(C1212=1,E1212,IF(P1212=1,$E$2003+Q1212,""))</f>
        <v/>
      </c>
      <c r="E1212" s="0" t="n">
        <f aca="false">E1211+C1212</f>
        <v>0</v>
      </c>
      <c r="P1212" s="0" t="n">
        <f aca="false">IF(AND(Comments!B1210='Policy card'!$C$3,Comments!N1210="Closed"),1,0)</f>
        <v>0</v>
      </c>
      <c r="Q1212" s="0" t="n">
        <f aca="false">Q1211+P1212</f>
        <v>7</v>
      </c>
    </row>
    <row r="1213" customFormat="false" ht="15" hidden="false" customHeight="false" outlineLevel="0" collapsed="false">
      <c r="C1213" s="0" t="n">
        <f aca="false">IF(AND(Comments!B1211='Policy card'!$C$3,Comments!N1211="Open"),1,0)</f>
        <v>0</v>
      </c>
      <c r="D1213" s="0" t="str">
        <f aca="false">IF(C1213=1,E1213,IF(P1213=1,$E$2003+Q1213,""))</f>
        <v/>
      </c>
      <c r="E1213" s="0" t="n">
        <f aca="false">E1212+C1213</f>
        <v>0</v>
      </c>
      <c r="P1213" s="0" t="n">
        <f aca="false">IF(AND(Comments!B1211='Policy card'!$C$3,Comments!N1211="Closed"),1,0)</f>
        <v>0</v>
      </c>
      <c r="Q1213" s="0" t="n">
        <f aca="false">Q1212+P1213</f>
        <v>7</v>
      </c>
    </row>
    <row r="1214" customFormat="false" ht="15" hidden="false" customHeight="false" outlineLevel="0" collapsed="false">
      <c r="C1214" s="0" t="n">
        <f aca="false">IF(AND(Comments!B1212='Policy card'!$C$3,Comments!N1212="Open"),1,0)</f>
        <v>0</v>
      </c>
      <c r="D1214" s="0" t="str">
        <f aca="false">IF(C1214=1,E1214,IF(P1214=1,$E$2003+Q1214,""))</f>
        <v/>
      </c>
      <c r="E1214" s="0" t="n">
        <f aca="false">E1213+C1214</f>
        <v>0</v>
      </c>
      <c r="P1214" s="0" t="n">
        <f aca="false">IF(AND(Comments!B1212='Policy card'!$C$3,Comments!N1212="Closed"),1,0)</f>
        <v>0</v>
      </c>
      <c r="Q1214" s="0" t="n">
        <f aca="false">Q1213+P1214</f>
        <v>7</v>
      </c>
    </row>
    <row r="1215" customFormat="false" ht="15" hidden="false" customHeight="false" outlineLevel="0" collapsed="false">
      <c r="C1215" s="0" t="n">
        <f aca="false">IF(AND(Comments!B1213='Policy card'!$C$3,Comments!N1213="Open"),1,0)</f>
        <v>0</v>
      </c>
      <c r="D1215" s="0" t="str">
        <f aca="false">IF(C1215=1,E1215,IF(P1215=1,$E$2003+Q1215,""))</f>
        <v/>
      </c>
      <c r="E1215" s="0" t="n">
        <f aca="false">E1214+C1215</f>
        <v>0</v>
      </c>
      <c r="P1215" s="0" t="n">
        <f aca="false">IF(AND(Comments!B1213='Policy card'!$C$3,Comments!N1213="Closed"),1,0)</f>
        <v>0</v>
      </c>
      <c r="Q1215" s="0" t="n">
        <f aca="false">Q1214+P1215</f>
        <v>7</v>
      </c>
    </row>
    <row r="1216" customFormat="false" ht="15" hidden="false" customHeight="false" outlineLevel="0" collapsed="false">
      <c r="C1216" s="0" t="n">
        <f aca="false">IF(AND(Comments!B1214='Policy card'!$C$3,Comments!N1214="Open"),1,0)</f>
        <v>0</v>
      </c>
      <c r="D1216" s="0" t="str">
        <f aca="false">IF(C1216=1,E1216,IF(P1216=1,$E$2003+Q1216,""))</f>
        <v/>
      </c>
      <c r="E1216" s="0" t="n">
        <f aca="false">E1215+C1216</f>
        <v>0</v>
      </c>
      <c r="P1216" s="0" t="n">
        <f aca="false">IF(AND(Comments!B1214='Policy card'!$C$3,Comments!N1214="Closed"),1,0)</f>
        <v>0</v>
      </c>
      <c r="Q1216" s="0" t="n">
        <f aca="false">Q1215+P1216</f>
        <v>7</v>
      </c>
    </row>
    <row r="1217" customFormat="false" ht="15" hidden="false" customHeight="false" outlineLevel="0" collapsed="false">
      <c r="C1217" s="0" t="n">
        <f aca="false">IF(AND(Comments!B1215='Policy card'!$C$3,Comments!N1215="Open"),1,0)</f>
        <v>0</v>
      </c>
      <c r="D1217" s="0" t="str">
        <f aca="false">IF(C1217=1,E1217,IF(P1217=1,$E$2003+Q1217,""))</f>
        <v/>
      </c>
      <c r="E1217" s="0" t="n">
        <f aca="false">E1216+C1217</f>
        <v>0</v>
      </c>
      <c r="P1217" s="0" t="n">
        <f aca="false">IF(AND(Comments!B1215='Policy card'!$C$3,Comments!N1215="Closed"),1,0)</f>
        <v>0</v>
      </c>
      <c r="Q1217" s="0" t="n">
        <f aca="false">Q1216+P1217</f>
        <v>7</v>
      </c>
    </row>
    <row r="1218" customFormat="false" ht="15" hidden="false" customHeight="false" outlineLevel="0" collapsed="false">
      <c r="C1218" s="0" t="n">
        <f aca="false">IF(AND(Comments!B1216='Policy card'!$C$3,Comments!N1216="Open"),1,0)</f>
        <v>0</v>
      </c>
      <c r="D1218" s="0" t="str">
        <f aca="false">IF(C1218=1,E1218,IF(P1218=1,$E$2003+Q1218,""))</f>
        <v/>
      </c>
      <c r="E1218" s="0" t="n">
        <f aca="false">E1217+C1218</f>
        <v>0</v>
      </c>
      <c r="P1218" s="0" t="n">
        <f aca="false">IF(AND(Comments!B1216='Policy card'!$C$3,Comments!N1216="Closed"),1,0)</f>
        <v>0</v>
      </c>
      <c r="Q1218" s="0" t="n">
        <f aca="false">Q1217+P1218</f>
        <v>7</v>
      </c>
    </row>
    <row r="1219" customFormat="false" ht="15" hidden="false" customHeight="false" outlineLevel="0" collapsed="false">
      <c r="C1219" s="0" t="n">
        <f aca="false">IF(AND(Comments!B1217='Policy card'!$C$3,Comments!N1217="Open"),1,0)</f>
        <v>0</v>
      </c>
      <c r="D1219" s="0" t="str">
        <f aca="false">IF(C1219=1,E1219,IF(P1219=1,$E$2003+Q1219,""))</f>
        <v/>
      </c>
      <c r="E1219" s="0" t="n">
        <f aca="false">E1218+C1219</f>
        <v>0</v>
      </c>
      <c r="P1219" s="0" t="n">
        <f aca="false">IF(AND(Comments!B1217='Policy card'!$C$3,Comments!N1217="Closed"),1,0)</f>
        <v>0</v>
      </c>
      <c r="Q1219" s="0" t="n">
        <f aca="false">Q1218+P1219</f>
        <v>7</v>
      </c>
    </row>
    <row r="1220" customFormat="false" ht="15" hidden="false" customHeight="false" outlineLevel="0" collapsed="false">
      <c r="C1220" s="0" t="n">
        <f aca="false">IF(AND(Comments!B1218='Policy card'!$C$3,Comments!N1218="Open"),1,0)</f>
        <v>0</v>
      </c>
      <c r="D1220" s="0" t="str">
        <f aca="false">IF(C1220=1,E1220,IF(P1220=1,$E$2003+Q1220,""))</f>
        <v/>
      </c>
      <c r="E1220" s="0" t="n">
        <f aca="false">E1219+C1220</f>
        <v>0</v>
      </c>
      <c r="P1220" s="0" t="n">
        <f aca="false">IF(AND(Comments!B1218='Policy card'!$C$3,Comments!N1218="Closed"),1,0)</f>
        <v>0</v>
      </c>
      <c r="Q1220" s="0" t="n">
        <f aca="false">Q1219+P1220</f>
        <v>7</v>
      </c>
    </row>
    <row r="1221" customFormat="false" ht="15" hidden="false" customHeight="false" outlineLevel="0" collapsed="false">
      <c r="C1221" s="0" t="n">
        <f aca="false">IF(AND(Comments!B1219='Policy card'!$C$3,Comments!N1219="Open"),1,0)</f>
        <v>0</v>
      </c>
      <c r="D1221" s="0" t="str">
        <f aca="false">IF(C1221=1,E1221,IF(P1221=1,$E$2003+Q1221,""))</f>
        <v/>
      </c>
      <c r="E1221" s="0" t="n">
        <f aca="false">E1220+C1221</f>
        <v>0</v>
      </c>
      <c r="P1221" s="0" t="n">
        <f aca="false">IF(AND(Comments!B1219='Policy card'!$C$3,Comments!N1219="Closed"),1,0)</f>
        <v>0</v>
      </c>
      <c r="Q1221" s="0" t="n">
        <f aca="false">Q1220+P1221</f>
        <v>7</v>
      </c>
    </row>
    <row r="1222" customFormat="false" ht="15" hidden="false" customHeight="false" outlineLevel="0" collapsed="false">
      <c r="C1222" s="0" t="n">
        <f aca="false">IF(AND(Comments!B1220='Policy card'!$C$3,Comments!N1220="Open"),1,0)</f>
        <v>0</v>
      </c>
      <c r="D1222" s="0" t="str">
        <f aca="false">IF(C1222=1,E1222,IF(P1222=1,$E$2003+Q1222,""))</f>
        <v/>
      </c>
      <c r="E1222" s="0" t="n">
        <f aca="false">E1221+C1222</f>
        <v>0</v>
      </c>
      <c r="P1222" s="0" t="n">
        <f aca="false">IF(AND(Comments!B1220='Policy card'!$C$3,Comments!N1220="Closed"),1,0)</f>
        <v>0</v>
      </c>
      <c r="Q1222" s="0" t="n">
        <f aca="false">Q1221+P1222</f>
        <v>7</v>
      </c>
    </row>
    <row r="1223" customFormat="false" ht="15" hidden="false" customHeight="false" outlineLevel="0" collapsed="false">
      <c r="C1223" s="0" t="n">
        <f aca="false">IF(AND(Comments!B1221='Policy card'!$C$3,Comments!N1221="Open"),1,0)</f>
        <v>0</v>
      </c>
      <c r="D1223" s="0" t="str">
        <f aca="false">IF(C1223=1,E1223,IF(P1223=1,$E$2003+Q1223,""))</f>
        <v/>
      </c>
      <c r="E1223" s="0" t="n">
        <f aca="false">E1222+C1223</f>
        <v>0</v>
      </c>
      <c r="P1223" s="0" t="n">
        <f aca="false">IF(AND(Comments!B1221='Policy card'!$C$3,Comments!N1221="Closed"),1,0)</f>
        <v>0</v>
      </c>
      <c r="Q1223" s="0" t="n">
        <f aca="false">Q1222+P1223</f>
        <v>7</v>
      </c>
    </row>
    <row r="1224" customFormat="false" ht="15" hidden="false" customHeight="false" outlineLevel="0" collapsed="false">
      <c r="C1224" s="0" t="n">
        <f aca="false">IF(AND(Comments!B1222='Policy card'!$C$3,Comments!N1222="Open"),1,0)</f>
        <v>0</v>
      </c>
      <c r="D1224" s="0" t="str">
        <f aca="false">IF(C1224=1,E1224,IF(P1224=1,$E$2003+Q1224,""))</f>
        <v/>
      </c>
      <c r="E1224" s="0" t="n">
        <f aca="false">E1223+C1224</f>
        <v>0</v>
      </c>
      <c r="P1224" s="0" t="n">
        <f aca="false">IF(AND(Comments!B1222='Policy card'!$C$3,Comments!N1222="Closed"),1,0)</f>
        <v>0</v>
      </c>
      <c r="Q1224" s="0" t="n">
        <f aca="false">Q1223+P1224</f>
        <v>7</v>
      </c>
    </row>
    <row r="1225" customFormat="false" ht="15" hidden="false" customHeight="false" outlineLevel="0" collapsed="false">
      <c r="C1225" s="0" t="n">
        <f aca="false">IF(AND(Comments!B1223='Policy card'!$C$3,Comments!N1223="Open"),1,0)</f>
        <v>0</v>
      </c>
      <c r="D1225" s="0" t="str">
        <f aca="false">IF(C1225=1,E1225,IF(P1225=1,$E$2003+Q1225,""))</f>
        <v/>
      </c>
      <c r="E1225" s="0" t="n">
        <f aca="false">E1224+C1225</f>
        <v>0</v>
      </c>
      <c r="P1225" s="0" t="n">
        <f aca="false">IF(AND(Comments!B1223='Policy card'!$C$3,Comments!N1223="Closed"),1,0)</f>
        <v>0</v>
      </c>
      <c r="Q1225" s="0" t="n">
        <f aca="false">Q1224+P1225</f>
        <v>7</v>
      </c>
    </row>
    <row r="1226" customFormat="false" ht="15" hidden="false" customHeight="false" outlineLevel="0" collapsed="false">
      <c r="C1226" s="0" t="n">
        <f aca="false">IF(AND(Comments!B1224='Policy card'!$C$3,Comments!N1224="Open"),1,0)</f>
        <v>0</v>
      </c>
      <c r="D1226" s="0" t="str">
        <f aca="false">IF(C1226=1,E1226,IF(P1226=1,$E$2003+Q1226,""))</f>
        <v/>
      </c>
      <c r="E1226" s="0" t="n">
        <f aca="false">E1225+C1226</f>
        <v>0</v>
      </c>
      <c r="P1226" s="0" t="n">
        <f aca="false">IF(AND(Comments!B1224='Policy card'!$C$3,Comments!N1224="Closed"),1,0)</f>
        <v>0</v>
      </c>
      <c r="Q1226" s="0" t="n">
        <f aca="false">Q1225+P1226</f>
        <v>7</v>
      </c>
    </row>
    <row r="1227" customFormat="false" ht="15" hidden="false" customHeight="false" outlineLevel="0" collapsed="false">
      <c r="C1227" s="0" t="n">
        <f aca="false">IF(AND(Comments!B1225='Policy card'!$C$3,Comments!N1225="Open"),1,0)</f>
        <v>0</v>
      </c>
      <c r="D1227" s="0" t="str">
        <f aca="false">IF(C1227=1,E1227,IF(P1227=1,$E$2003+Q1227,""))</f>
        <v/>
      </c>
      <c r="E1227" s="0" t="n">
        <f aca="false">E1226+C1227</f>
        <v>0</v>
      </c>
      <c r="P1227" s="0" t="n">
        <f aca="false">IF(AND(Comments!B1225='Policy card'!$C$3,Comments!N1225="Closed"),1,0)</f>
        <v>0</v>
      </c>
      <c r="Q1227" s="0" t="n">
        <f aca="false">Q1226+P1227</f>
        <v>7</v>
      </c>
    </row>
    <row r="1228" customFormat="false" ht="15" hidden="false" customHeight="false" outlineLevel="0" collapsed="false">
      <c r="C1228" s="0" t="n">
        <f aca="false">IF(AND(Comments!B1226='Policy card'!$C$3,Comments!N1226="Open"),1,0)</f>
        <v>0</v>
      </c>
      <c r="D1228" s="0" t="str">
        <f aca="false">IF(C1228=1,E1228,IF(P1228=1,$E$2003+Q1228,""))</f>
        <v/>
      </c>
      <c r="E1228" s="0" t="n">
        <f aca="false">E1227+C1228</f>
        <v>0</v>
      </c>
      <c r="P1228" s="0" t="n">
        <f aca="false">IF(AND(Comments!B1226='Policy card'!$C$3,Comments!N1226="Closed"),1,0)</f>
        <v>0</v>
      </c>
      <c r="Q1228" s="0" t="n">
        <f aca="false">Q1227+P1228</f>
        <v>7</v>
      </c>
    </row>
    <row r="1229" customFormat="false" ht="15" hidden="false" customHeight="false" outlineLevel="0" collapsed="false">
      <c r="C1229" s="0" t="n">
        <f aca="false">IF(AND(Comments!B1227='Policy card'!$C$3,Comments!N1227="Open"),1,0)</f>
        <v>0</v>
      </c>
      <c r="D1229" s="0" t="str">
        <f aca="false">IF(C1229=1,E1229,IF(P1229=1,$E$2003+Q1229,""))</f>
        <v/>
      </c>
      <c r="E1229" s="0" t="n">
        <f aca="false">E1228+C1229</f>
        <v>0</v>
      </c>
      <c r="P1229" s="0" t="n">
        <f aca="false">IF(AND(Comments!B1227='Policy card'!$C$3,Comments!N1227="Closed"),1,0)</f>
        <v>0</v>
      </c>
      <c r="Q1229" s="0" t="n">
        <f aca="false">Q1228+P1229</f>
        <v>7</v>
      </c>
    </row>
    <row r="1230" customFormat="false" ht="15" hidden="false" customHeight="false" outlineLevel="0" collapsed="false">
      <c r="C1230" s="0" t="n">
        <f aca="false">IF(AND(Comments!B1228='Policy card'!$C$3,Comments!N1228="Open"),1,0)</f>
        <v>0</v>
      </c>
      <c r="D1230" s="0" t="str">
        <f aca="false">IF(C1230=1,E1230,IF(P1230=1,$E$2003+Q1230,""))</f>
        <v/>
      </c>
      <c r="E1230" s="0" t="n">
        <f aca="false">E1229+C1230</f>
        <v>0</v>
      </c>
      <c r="P1230" s="0" t="n">
        <f aca="false">IF(AND(Comments!B1228='Policy card'!$C$3,Comments!N1228="Closed"),1,0)</f>
        <v>0</v>
      </c>
      <c r="Q1230" s="0" t="n">
        <f aca="false">Q1229+P1230</f>
        <v>7</v>
      </c>
    </row>
    <row r="1231" customFormat="false" ht="15" hidden="false" customHeight="false" outlineLevel="0" collapsed="false">
      <c r="C1231" s="0" t="n">
        <f aca="false">IF(AND(Comments!B1229='Policy card'!$C$3,Comments!N1229="Open"),1,0)</f>
        <v>0</v>
      </c>
      <c r="D1231" s="0" t="str">
        <f aca="false">IF(C1231=1,E1231,IF(P1231=1,$E$2003+Q1231,""))</f>
        <v/>
      </c>
      <c r="E1231" s="0" t="n">
        <f aca="false">E1230+C1231</f>
        <v>0</v>
      </c>
      <c r="P1231" s="0" t="n">
        <f aca="false">IF(AND(Comments!B1229='Policy card'!$C$3,Comments!N1229="Closed"),1,0)</f>
        <v>0</v>
      </c>
      <c r="Q1231" s="0" t="n">
        <f aca="false">Q1230+P1231</f>
        <v>7</v>
      </c>
    </row>
    <row r="1232" customFormat="false" ht="15" hidden="false" customHeight="false" outlineLevel="0" collapsed="false">
      <c r="C1232" s="0" t="n">
        <f aca="false">IF(AND(Comments!B1230='Policy card'!$C$3,Comments!N1230="Open"),1,0)</f>
        <v>0</v>
      </c>
      <c r="D1232" s="0" t="str">
        <f aca="false">IF(C1232=1,E1232,IF(P1232=1,$E$2003+Q1232,""))</f>
        <v/>
      </c>
      <c r="E1232" s="0" t="n">
        <f aca="false">E1231+C1232</f>
        <v>0</v>
      </c>
      <c r="P1232" s="0" t="n">
        <f aca="false">IF(AND(Comments!B1230='Policy card'!$C$3,Comments!N1230="Closed"),1,0)</f>
        <v>0</v>
      </c>
      <c r="Q1232" s="0" t="n">
        <f aca="false">Q1231+P1232</f>
        <v>7</v>
      </c>
    </row>
    <row r="1233" customFormat="false" ht="15" hidden="false" customHeight="false" outlineLevel="0" collapsed="false">
      <c r="C1233" s="0" t="n">
        <f aca="false">IF(AND(Comments!B1231='Policy card'!$C$3,Comments!N1231="Open"),1,0)</f>
        <v>0</v>
      </c>
      <c r="D1233" s="0" t="str">
        <f aca="false">IF(C1233=1,E1233,IF(P1233=1,$E$2003+Q1233,""))</f>
        <v/>
      </c>
      <c r="E1233" s="0" t="n">
        <f aca="false">E1232+C1233</f>
        <v>0</v>
      </c>
      <c r="P1233" s="0" t="n">
        <f aca="false">IF(AND(Comments!B1231='Policy card'!$C$3,Comments!N1231="Closed"),1,0)</f>
        <v>0</v>
      </c>
      <c r="Q1233" s="0" t="n">
        <f aca="false">Q1232+P1233</f>
        <v>7</v>
      </c>
    </row>
    <row r="1234" customFormat="false" ht="15" hidden="false" customHeight="false" outlineLevel="0" collapsed="false">
      <c r="C1234" s="0" t="n">
        <f aca="false">IF(AND(Comments!B1232='Policy card'!$C$3,Comments!N1232="Open"),1,0)</f>
        <v>0</v>
      </c>
      <c r="D1234" s="0" t="str">
        <f aca="false">IF(C1234=1,E1234,IF(P1234=1,$E$2003+Q1234,""))</f>
        <v/>
      </c>
      <c r="E1234" s="0" t="n">
        <f aca="false">E1233+C1234</f>
        <v>0</v>
      </c>
      <c r="P1234" s="0" t="n">
        <f aca="false">IF(AND(Comments!B1232='Policy card'!$C$3,Comments!N1232="Closed"),1,0)</f>
        <v>0</v>
      </c>
      <c r="Q1234" s="0" t="n">
        <f aca="false">Q1233+P1234</f>
        <v>7</v>
      </c>
    </row>
    <row r="1235" customFormat="false" ht="15" hidden="false" customHeight="false" outlineLevel="0" collapsed="false">
      <c r="C1235" s="0" t="n">
        <f aca="false">IF(AND(Comments!B1233='Policy card'!$C$3,Comments!N1233="Open"),1,0)</f>
        <v>0</v>
      </c>
      <c r="D1235" s="0" t="str">
        <f aca="false">IF(C1235=1,E1235,IF(P1235=1,$E$2003+Q1235,""))</f>
        <v/>
      </c>
      <c r="E1235" s="0" t="n">
        <f aca="false">E1234+C1235</f>
        <v>0</v>
      </c>
      <c r="P1235" s="0" t="n">
        <f aca="false">IF(AND(Comments!B1233='Policy card'!$C$3,Comments!N1233="Closed"),1,0)</f>
        <v>0</v>
      </c>
      <c r="Q1235" s="0" t="n">
        <f aca="false">Q1234+P1235</f>
        <v>7</v>
      </c>
    </row>
    <row r="1236" customFormat="false" ht="15" hidden="false" customHeight="false" outlineLevel="0" collapsed="false">
      <c r="C1236" s="0" t="n">
        <f aca="false">IF(AND(Comments!B1234='Policy card'!$C$3,Comments!N1234="Open"),1,0)</f>
        <v>0</v>
      </c>
      <c r="D1236" s="0" t="str">
        <f aca="false">IF(C1236=1,E1236,IF(P1236=1,$E$2003+Q1236,""))</f>
        <v/>
      </c>
      <c r="E1236" s="0" t="n">
        <f aca="false">E1235+C1236</f>
        <v>0</v>
      </c>
      <c r="P1236" s="0" t="n">
        <f aca="false">IF(AND(Comments!B1234='Policy card'!$C$3,Comments!N1234="Closed"),1,0)</f>
        <v>0</v>
      </c>
      <c r="Q1236" s="0" t="n">
        <f aca="false">Q1235+P1236</f>
        <v>7</v>
      </c>
    </row>
    <row r="1237" customFormat="false" ht="15" hidden="false" customHeight="false" outlineLevel="0" collapsed="false">
      <c r="C1237" s="0" t="n">
        <f aca="false">IF(AND(Comments!B1235='Policy card'!$C$3,Comments!N1235="Open"),1,0)</f>
        <v>0</v>
      </c>
      <c r="D1237" s="0" t="str">
        <f aca="false">IF(C1237=1,E1237,IF(P1237=1,$E$2003+Q1237,""))</f>
        <v/>
      </c>
      <c r="E1237" s="0" t="n">
        <f aca="false">E1236+C1237</f>
        <v>0</v>
      </c>
      <c r="P1237" s="0" t="n">
        <f aca="false">IF(AND(Comments!B1235='Policy card'!$C$3,Comments!N1235="Closed"),1,0)</f>
        <v>0</v>
      </c>
      <c r="Q1237" s="0" t="n">
        <f aca="false">Q1236+P1237</f>
        <v>7</v>
      </c>
    </row>
    <row r="1238" customFormat="false" ht="15" hidden="false" customHeight="false" outlineLevel="0" collapsed="false">
      <c r="C1238" s="0" t="n">
        <f aca="false">IF(AND(Comments!B1236='Policy card'!$C$3,Comments!N1236="Open"),1,0)</f>
        <v>0</v>
      </c>
      <c r="D1238" s="0" t="str">
        <f aca="false">IF(C1238=1,E1238,IF(P1238=1,$E$2003+Q1238,""))</f>
        <v/>
      </c>
      <c r="E1238" s="0" t="n">
        <f aca="false">E1237+C1238</f>
        <v>0</v>
      </c>
      <c r="P1238" s="0" t="n">
        <f aca="false">IF(AND(Comments!B1236='Policy card'!$C$3,Comments!N1236="Closed"),1,0)</f>
        <v>0</v>
      </c>
      <c r="Q1238" s="0" t="n">
        <f aca="false">Q1237+P1238</f>
        <v>7</v>
      </c>
    </row>
    <row r="1239" customFormat="false" ht="15" hidden="false" customHeight="false" outlineLevel="0" collapsed="false">
      <c r="C1239" s="0" t="n">
        <f aca="false">IF(AND(Comments!B1237='Policy card'!$C$3,Comments!N1237="Open"),1,0)</f>
        <v>0</v>
      </c>
      <c r="D1239" s="0" t="str">
        <f aca="false">IF(C1239=1,E1239,IF(P1239=1,$E$2003+Q1239,""))</f>
        <v/>
      </c>
      <c r="E1239" s="0" t="n">
        <f aca="false">E1238+C1239</f>
        <v>0</v>
      </c>
      <c r="P1239" s="0" t="n">
        <f aca="false">IF(AND(Comments!B1237='Policy card'!$C$3,Comments!N1237="Closed"),1,0)</f>
        <v>0</v>
      </c>
      <c r="Q1239" s="0" t="n">
        <f aca="false">Q1238+P1239</f>
        <v>7</v>
      </c>
    </row>
    <row r="1240" customFormat="false" ht="15" hidden="false" customHeight="false" outlineLevel="0" collapsed="false">
      <c r="C1240" s="0" t="n">
        <f aca="false">IF(AND(Comments!B1238='Policy card'!$C$3,Comments!N1238="Open"),1,0)</f>
        <v>0</v>
      </c>
      <c r="D1240" s="0" t="str">
        <f aca="false">IF(C1240=1,E1240,IF(P1240=1,$E$2003+Q1240,""))</f>
        <v/>
      </c>
      <c r="E1240" s="0" t="n">
        <f aca="false">E1239+C1240</f>
        <v>0</v>
      </c>
      <c r="P1240" s="0" t="n">
        <f aca="false">IF(AND(Comments!B1238='Policy card'!$C$3,Comments!N1238="Closed"),1,0)</f>
        <v>0</v>
      </c>
      <c r="Q1240" s="0" t="n">
        <f aca="false">Q1239+P1240</f>
        <v>7</v>
      </c>
    </row>
    <row r="1241" customFormat="false" ht="15" hidden="false" customHeight="false" outlineLevel="0" collapsed="false">
      <c r="C1241" s="0" t="n">
        <f aca="false">IF(AND(Comments!B1239='Policy card'!$C$3,Comments!N1239="Open"),1,0)</f>
        <v>0</v>
      </c>
      <c r="D1241" s="0" t="str">
        <f aca="false">IF(C1241=1,E1241,IF(P1241=1,$E$2003+Q1241,""))</f>
        <v/>
      </c>
      <c r="E1241" s="0" t="n">
        <f aca="false">E1240+C1241</f>
        <v>0</v>
      </c>
      <c r="P1241" s="0" t="n">
        <f aca="false">IF(AND(Comments!B1239='Policy card'!$C$3,Comments!N1239="Closed"),1,0)</f>
        <v>0</v>
      </c>
      <c r="Q1241" s="0" t="n">
        <f aca="false">Q1240+P1241</f>
        <v>7</v>
      </c>
    </row>
    <row r="1242" customFormat="false" ht="15" hidden="false" customHeight="false" outlineLevel="0" collapsed="false">
      <c r="C1242" s="0" t="n">
        <f aca="false">IF(AND(Comments!B1240='Policy card'!$C$3,Comments!N1240="Open"),1,0)</f>
        <v>0</v>
      </c>
      <c r="D1242" s="0" t="str">
        <f aca="false">IF(C1242=1,E1242,IF(P1242=1,$E$2003+Q1242,""))</f>
        <v/>
      </c>
      <c r="E1242" s="0" t="n">
        <f aca="false">E1241+C1242</f>
        <v>0</v>
      </c>
      <c r="P1242" s="0" t="n">
        <f aca="false">IF(AND(Comments!B1240='Policy card'!$C$3,Comments!N1240="Closed"),1,0)</f>
        <v>0</v>
      </c>
      <c r="Q1242" s="0" t="n">
        <f aca="false">Q1241+P1242</f>
        <v>7</v>
      </c>
    </row>
    <row r="1243" customFormat="false" ht="15" hidden="false" customHeight="false" outlineLevel="0" collapsed="false">
      <c r="C1243" s="0" t="n">
        <f aca="false">IF(AND(Comments!B1241='Policy card'!$C$3,Comments!N1241="Open"),1,0)</f>
        <v>0</v>
      </c>
      <c r="D1243" s="0" t="str">
        <f aca="false">IF(C1243=1,E1243,IF(P1243=1,$E$2003+Q1243,""))</f>
        <v/>
      </c>
      <c r="E1243" s="0" t="n">
        <f aca="false">E1242+C1243</f>
        <v>0</v>
      </c>
      <c r="P1243" s="0" t="n">
        <f aca="false">IF(AND(Comments!B1241='Policy card'!$C$3,Comments!N1241="Closed"),1,0)</f>
        <v>0</v>
      </c>
      <c r="Q1243" s="0" t="n">
        <f aca="false">Q1242+P1243</f>
        <v>7</v>
      </c>
    </row>
    <row r="1244" customFormat="false" ht="15" hidden="false" customHeight="false" outlineLevel="0" collapsed="false">
      <c r="C1244" s="0" t="n">
        <f aca="false">IF(AND(Comments!B1242='Policy card'!$C$3,Comments!N1242="Open"),1,0)</f>
        <v>0</v>
      </c>
      <c r="D1244" s="0" t="str">
        <f aca="false">IF(C1244=1,E1244,IF(P1244=1,$E$2003+Q1244,""))</f>
        <v/>
      </c>
      <c r="E1244" s="0" t="n">
        <f aca="false">E1243+C1244</f>
        <v>0</v>
      </c>
      <c r="P1244" s="0" t="n">
        <f aca="false">IF(AND(Comments!B1242='Policy card'!$C$3,Comments!N1242="Closed"),1,0)</f>
        <v>0</v>
      </c>
      <c r="Q1244" s="0" t="n">
        <f aca="false">Q1243+P1244</f>
        <v>7</v>
      </c>
    </row>
    <row r="1245" customFormat="false" ht="15" hidden="false" customHeight="false" outlineLevel="0" collapsed="false">
      <c r="C1245" s="0" t="n">
        <f aca="false">IF(AND(Comments!B1243='Policy card'!$C$3,Comments!N1243="Open"),1,0)</f>
        <v>0</v>
      </c>
      <c r="D1245" s="0" t="str">
        <f aca="false">IF(C1245=1,E1245,IF(P1245=1,$E$2003+Q1245,""))</f>
        <v/>
      </c>
      <c r="E1245" s="0" t="n">
        <f aca="false">E1244+C1245</f>
        <v>0</v>
      </c>
      <c r="P1245" s="0" t="n">
        <f aca="false">IF(AND(Comments!B1243='Policy card'!$C$3,Comments!N1243="Closed"),1,0)</f>
        <v>0</v>
      </c>
      <c r="Q1245" s="0" t="n">
        <f aca="false">Q1244+P1245</f>
        <v>7</v>
      </c>
    </row>
    <row r="1246" customFormat="false" ht="15" hidden="false" customHeight="false" outlineLevel="0" collapsed="false">
      <c r="C1246" s="0" t="n">
        <f aca="false">IF(AND(Comments!B1244='Policy card'!$C$3,Comments!N1244="Open"),1,0)</f>
        <v>0</v>
      </c>
      <c r="D1246" s="0" t="str">
        <f aca="false">IF(C1246=1,E1246,IF(P1246=1,$E$2003+Q1246,""))</f>
        <v/>
      </c>
      <c r="E1246" s="0" t="n">
        <f aca="false">E1245+C1246</f>
        <v>0</v>
      </c>
      <c r="P1246" s="0" t="n">
        <f aca="false">IF(AND(Comments!B1244='Policy card'!$C$3,Comments!N1244="Closed"),1,0)</f>
        <v>0</v>
      </c>
      <c r="Q1246" s="0" t="n">
        <f aca="false">Q1245+P1246</f>
        <v>7</v>
      </c>
    </row>
    <row r="1247" customFormat="false" ht="15" hidden="false" customHeight="false" outlineLevel="0" collapsed="false">
      <c r="C1247" s="0" t="n">
        <f aca="false">IF(AND(Comments!B1245='Policy card'!$C$3,Comments!N1245="Open"),1,0)</f>
        <v>0</v>
      </c>
      <c r="D1247" s="0" t="str">
        <f aca="false">IF(C1247=1,E1247,IF(P1247=1,$E$2003+Q1247,""))</f>
        <v/>
      </c>
      <c r="E1247" s="0" t="n">
        <f aca="false">E1246+C1247</f>
        <v>0</v>
      </c>
      <c r="P1247" s="0" t="n">
        <f aca="false">IF(AND(Comments!B1245='Policy card'!$C$3,Comments!N1245="Closed"),1,0)</f>
        <v>0</v>
      </c>
      <c r="Q1247" s="0" t="n">
        <f aca="false">Q1246+P1247</f>
        <v>7</v>
      </c>
    </row>
    <row r="1248" customFormat="false" ht="15" hidden="false" customHeight="false" outlineLevel="0" collapsed="false">
      <c r="C1248" s="0" t="n">
        <f aca="false">IF(AND(Comments!B1246='Policy card'!$C$3,Comments!N1246="Open"),1,0)</f>
        <v>0</v>
      </c>
      <c r="D1248" s="0" t="str">
        <f aca="false">IF(C1248=1,E1248,IF(P1248=1,$E$2003+Q1248,""))</f>
        <v/>
      </c>
      <c r="E1248" s="0" t="n">
        <f aca="false">E1247+C1248</f>
        <v>0</v>
      </c>
      <c r="P1248" s="0" t="n">
        <f aca="false">IF(AND(Comments!B1246='Policy card'!$C$3,Comments!N1246="Closed"),1,0)</f>
        <v>0</v>
      </c>
      <c r="Q1248" s="0" t="n">
        <f aca="false">Q1247+P1248</f>
        <v>7</v>
      </c>
    </row>
    <row r="1249" customFormat="false" ht="15" hidden="false" customHeight="false" outlineLevel="0" collapsed="false">
      <c r="C1249" s="0" t="n">
        <f aca="false">IF(AND(Comments!B1247='Policy card'!$C$3,Comments!N1247="Open"),1,0)</f>
        <v>0</v>
      </c>
      <c r="D1249" s="0" t="str">
        <f aca="false">IF(C1249=1,E1249,IF(P1249=1,$E$2003+Q1249,""))</f>
        <v/>
      </c>
      <c r="E1249" s="0" t="n">
        <f aca="false">E1248+C1249</f>
        <v>0</v>
      </c>
      <c r="P1249" s="0" t="n">
        <f aca="false">IF(AND(Comments!B1247='Policy card'!$C$3,Comments!N1247="Closed"),1,0)</f>
        <v>0</v>
      </c>
      <c r="Q1249" s="0" t="n">
        <f aca="false">Q1248+P1249</f>
        <v>7</v>
      </c>
    </row>
    <row r="1250" customFormat="false" ht="15" hidden="false" customHeight="false" outlineLevel="0" collapsed="false">
      <c r="C1250" s="0" t="n">
        <f aca="false">IF(AND(Comments!B1248='Policy card'!$C$3,Comments!N1248="Open"),1,0)</f>
        <v>0</v>
      </c>
      <c r="D1250" s="0" t="str">
        <f aca="false">IF(C1250=1,E1250,IF(P1250=1,$E$2003+Q1250,""))</f>
        <v/>
      </c>
      <c r="E1250" s="0" t="n">
        <f aca="false">E1249+C1250</f>
        <v>0</v>
      </c>
      <c r="P1250" s="0" t="n">
        <f aca="false">IF(AND(Comments!B1248='Policy card'!$C$3,Comments!N1248="Closed"),1,0)</f>
        <v>0</v>
      </c>
      <c r="Q1250" s="0" t="n">
        <f aca="false">Q1249+P1250</f>
        <v>7</v>
      </c>
    </row>
    <row r="1251" customFormat="false" ht="15" hidden="false" customHeight="false" outlineLevel="0" collapsed="false">
      <c r="C1251" s="0" t="n">
        <f aca="false">IF(AND(Comments!B1249='Policy card'!$C$3,Comments!N1249="Open"),1,0)</f>
        <v>0</v>
      </c>
      <c r="D1251" s="0" t="str">
        <f aca="false">IF(C1251=1,E1251,IF(P1251=1,$E$2003+Q1251,""))</f>
        <v/>
      </c>
      <c r="E1251" s="0" t="n">
        <f aca="false">E1250+C1251</f>
        <v>0</v>
      </c>
      <c r="P1251" s="0" t="n">
        <f aca="false">IF(AND(Comments!B1249='Policy card'!$C$3,Comments!N1249="Closed"),1,0)</f>
        <v>0</v>
      </c>
      <c r="Q1251" s="0" t="n">
        <f aca="false">Q1250+P1251</f>
        <v>7</v>
      </c>
    </row>
    <row r="1252" customFormat="false" ht="15" hidden="false" customHeight="false" outlineLevel="0" collapsed="false">
      <c r="C1252" s="0" t="n">
        <f aca="false">IF(AND(Comments!B1250='Policy card'!$C$3,Comments!N1250="Open"),1,0)</f>
        <v>0</v>
      </c>
      <c r="D1252" s="0" t="str">
        <f aca="false">IF(C1252=1,E1252,IF(P1252=1,$E$2003+Q1252,""))</f>
        <v/>
      </c>
      <c r="E1252" s="0" t="n">
        <f aca="false">E1251+C1252</f>
        <v>0</v>
      </c>
      <c r="P1252" s="0" t="n">
        <f aca="false">IF(AND(Comments!B1250='Policy card'!$C$3,Comments!N1250="Closed"),1,0)</f>
        <v>0</v>
      </c>
      <c r="Q1252" s="0" t="n">
        <f aca="false">Q1251+P1252</f>
        <v>7</v>
      </c>
    </row>
    <row r="1253" customFormat="false" ht="15" hidden="false" customHeight="false" outlineLevel="0" collapsed="false">
      <c r="C1253" s="0" t="n">
        <f aca="false">IF(AND(Comments!B1251='Policy card'!$C$3,Comments!N1251="Open"),1,0)</f>
        <v>0</v>
      </c>
      <c r="D1253" s="0" t="str">
        <f aca="false">IF(C1253=1,E1253,IF(P1253=1,$E$2003+Q1253,""))</f>
        <v/>
      </c>
      <c r="E1253" s="0" t="n">
        <f aca="false">E1252+C1253</f>
        <v>0</v>
      </c>
      <c r="P1253" s="0" t="n">
        <f aca="false">IF(AND(Comments!B1251='Policy card'!$C$3,Comments!N1251="Closed"),1,0)</f>
        <v>0</v>
      </c>
      <c r="Q1253" s="0" t="n">
        <f aca="false">Q1252+P1253</f>
        <v>7</v>
      </c>
    </row>
    <row r="1254" customFormat="false" ht="15" hidden="false" customHeight="false" outlineLevel="0" collapsed="false">
      <c r="C1254" s="0" t="n">
        <f aca="false">IF(AND(Comments!B1252='Policy card'!$C$3,Comments!N1252="Open"),1,0)</f>
        <v>0</v>
      </c>
      <c r="D1254" s="0" t="str">
        <f aca="false">IF(C1254=1,E1254,IF(P1254=1,$E$2003+Q1254,""))</f>
        <v/>
      </c>
      <c r="E1254" s="0" t="n">
        <f aca="false">E1253+C1254</f>
        <v>0</v>
      </c>
      <c r="P1254" s="0" t="n">
        <f aca="false">IF(AND(Comments!B1252='Policy card'!$C$3,Comments!N1252="Closed"),1,0)</f>
        <v>0</v>
      </c>
      <c r="Q1254" s="0" t="n">
        <f aca="false">Q1253+P1254</f>
        <v>7</v>
      </c>
    </row>
    <row r="1255" customFormat="false" ht="15" hidden="false" customHeight="false" outlineLevel="0" collapsed="false">
      <c r="C1255" s="0" t="n">
        <f aca="false">IF(AND(Comments!B1253='Policy card'!$C$3,Comments!N1253="Open"),1,0)</f>
        <v>0</v>
      </c>
      <c r="D1255" s="0" t="str">
        <f aca="false">IF(C1255=1,E1255,IF(P1255=1,$E$2003+Q1255,""))</f>
        <v/>
      </c>
      <c r="E1255" s="0" t="n">
        <f aca="false">E1254+C1255</f>
        <v>0</v>
      </c>
      <c r="P1255" s="0" t="n">
        <f aca="false">IF(AND(Comments!B1253='Policy card'!$C$3,Comments!N1253="Closed"),1,0)</f>
        <v>0</v>
      </c>
      <c r="Q1255" s="0" t="n">
        <f aca="false">Q1254+P1255</f>
        <v>7</v>
      </c>
    </row>
    <row r="1256" customFormat="false" ht="15" hidden="false" customHeight="false" outlineLevel="0" collapsed="false">
      <c r="C1256" s="0" t="n">
        <f aca="false">IF(AND(Comments!B1254='Policy card'!$C$3,Comments!N1254="Open"),1,0)</f>
        <v>0</v>
      </c>
      <c r="D1256" s="0" t="str">
        <f aca="false">IF(C1256=1,E1256,IF(P1256=1,$E$2003+Q1256,""))</f>
        <v/>
      </c>
      <c r="E1256" s="0" t="n">
        <f aca="false">E1255+C1256</f>
        <v>0</v>
      </c>
      <c r="P1256" s="0" t="n">
        <f aca="false">IF(AND(Comments!B1254='Policy card'!$C$3,Comments!N1254="Closed"),1,0)</f>
        <v>0</v>
      </c>
      <c r="Q1256" s="0" t="n">
        <f aca="false">Q1255+P1256</f>
        <v>7</v>
      </c>
    </row>
    <row r="1257" customFormat="false" ht="15" hidden="false" customHeight="false" outlineLevel="0" collapsed="false">
      <c r="C1257" s="0" t="n">
        <f aca="false">IF(AND(Comments!B1255='Policy card'!$C$3,Comments!N1255="Open"),1,0)</f>
        <v>0</v>
      </c>
      <c r="D1257" s="0" t="str">
        <f aca="false">IF(C1257=1,E1257,IF(P1257=1,$E$2003+Q1257,""))</f>
        <v/>
      </c>
      <c r="E1257" s="0" t="n">
        <f aca="false">E1256+C1257</f>
        <v>0</v>
      </c>
      <c r="P1257" s="0" t="n">
        <f aca="false">IF(AND(Comments!B1255='Policy card'!$C$3,Comments!N1255="Closed"),1,0)</f>
        <v>0</v>
      </c>
      <c r="Q1257" s="0" t="n">
        <f aca="false">Q1256+P1257</f>
        <v>7</v>
      </c>
    </row>
    <row r="1258" customFormat="false" ht="15" hidden="false" customHeight="false" outlineLevel="0" collapsed="false">
      <c r="C1258" s="0" t="n">
        <f aca="false">IF(AND(Comments!B1256='Policy card'!$C$3,Comments!N1256="Open"),1,0)</f>
        <v>0</v>
      </c>
      <c r="D1258" s="0" t="str">
        <f aca="false">IF(C1258=1,E1258,IF(P1258=1,$E$2003+Q1258,""))</f>
        <v/>
      </c>
      <c r="E1258" s="0" t="n">
        <f aca="false">E1257+C1258</f>
        <v>0</v>
      </c>
      <c r="P1258" s="0" t="n">
        <f aca="false">IF(AND(Comments!B1256='Policy card'!$C$3,Comments!N1256="Closed"),1,0)</f>
        <v>0</v>
      </c>
      <c r="Q1258" s="0" t="n">
        <f aca="false">Q1257+P1258</f>
        <v>7</v>
      </c>
    </row>
    <row r="1259" customFormat="false" ht="15" hidden="false" customHeight="false" outlineLevel="0" collapsed="false">
      <c r="C1259" s="0" t="n">
        <f aca="false">IF(AND(Comments!B1257='Policy card'!$C$3,Comments!N1257="Open"),1,0)</f>
        <v>0</v>
      </c>
      <c r="D1259" s="0" t="str">
        <f aca="false">IF(C1259=1,E1259,IF(P1259=1,$E$2003+Q1259,""))</f>
        <v/>
      </c>
      <c r="E1259" s="0" t="n">
        <f aca="false">E1258+C1259</f>
        <v>0</v>
      </c>
      <c r="P1259" s="0" t="n">
        <f aca="false">IF(AND(Comments!B1257='Policy card'!$C$3,Comments!N1257="Closed"),1,0)</f>
        <v>0</v>
      </c>
      <c r="Q1259" s="0" t="n">
        <f aca="false">Q1258+P1259</f>
        <v>7</v>
      </c>
    </row>
    <row r="1260" customFormat="false" ht="15" hidden="false" customHeight="false" outlineLevel="0" collapsed="false">
      <c r="C1260" s="0" t="n">
        <f aca="false">IF(AND(Comments!B1258='Policy card'!$C$3,Comments!N1258="Open"),1,0)</f>
        <v>0</v>
      </c>
      <c r="D1260" s="0" t="str">
        <f aca="false">IF(C1260=1,E1260,IF(P1260=1,$E$2003+Q1260,""))</f>
        <v/>
      </c>
      <c r="E1260" s="0" t="n">
        <f aca="false">E1259+C1260</f>
        <v>0</v>
      </c>
      <c r="P1260" s="0" t="n">
        <f aca="false">IF(AND(Comments!B1258='Policy card'!$C$3,Comments!N1258="Closed"),1,0)</f>
        <v>0</v>
      </c>
      <c r="Q1260" s="0" t="n">
        <f aca="false">Q1259+P1260</f>
        <v>7</v>
      </c>
    </row>
    <row r="1261" customFormat="false" ht="15" hidden="false" customHeight="false" outlineLevel="0" collapsed="false">
      <c r="C1261" s="0" t="n">
        <f aca="false">IF(AND(Comments!B1259='Policy card'!$C$3,Comments!N1259="Open"),1,0)</f>
        <v>0</v>
      </c>
      <c r="D1261" s="0" t="str">
        <f aca="false">IF(C1261=1,E1261,IF(P1261=1,$E$2003+Q1261,""))</f>
        <v/>
      </c>
      <c r="E1261" s="0" t="n">
        <f aca="false">E1260+C1261</f>
        <v>0</v>
      </c>
      <c r="P1261" s="0" t="n">
        <f aca="false">IF(AND(Comments!B1259='Policy card'!$C$3,Comments!N1259="Closed"),1,0)</f>
        <v>0</v>
      </c>
      <c r="Q1261" s="0" t="n">
        <f aca="false">Q1260+P1261</f>
        <v>7</v>
      </c>
    </row>
    <row r="1262" customFormat="false" ht="15" hidden="false" customHeight="false" outlineLevel="0" collapsed="false">
      <c r="C1262" s="0" t="n">
        <f aca="false">IF(AND(Comments!B1260='Policy card'!$C$3,Comments!N1260="Open"),1,0)</f>
        <v>0</v>
      </c>
      <c r="D1262" s="0" t="str">
        <f aca="false">IF(C1262=1,E1262,IF(P1262=1,$E$2003+Q1262,""))</f>
        <v/>
      </c>
      <c r="E1262" s="0" t="n">
        <f aca="false">E1261+C1262</f>
        <v>0</v>
      </c>
      <c r="P1262" s="0" t="n">
        <f aca="false">IF(AND(Comments!B1260='Policy card'!$C$3,Comments!N1260="Closed"),1,0)</f>
        <v>0</v>
      </c>
      <c r="Q1262" s="0" t="n">
        <f aca="false">Q1261+P1262</f>
        <v>7</v>
      </c>
    </row>
    <row r="1263" customFormat="false" ht="15" hidden="false" customHeight="false" outlineLevel="0" collapsed="false">
      <c r="C1263" s="0" t="n">
        <f aca="false">IF(AND(Comments!B1261='Policy card'!$C$3,Comments!N1261="Open"),1,0)</f>
        <v>0</v>
      </c>
      <c r="D1263" s="0" t="str">
        <f aca="false">IF(C1263=1,E1263,IF(P1263=1,$E$2003+Q1263,""))</f>
        <v/>
      </c>
      <c r="E1263" s="0" t="n">
        <f aca="false">E1262+C1263</f>
        <v>0</v>
      </c>
      <c r="P1263" s="0" t="n">
        <f aca="false">IF(AND(Comments!B1261='Policy card'!$C$3,Comments!N1261="Closed"),1,0)</f>
        <v>0</v>
      </c>
      <c r="Q1263" s="0" t="n">
        <f aca="false">Q1262+P1263</f>
        <v>7</v>
      </c>
    </row>
    <row r="1264" customFormat="false" ht="15" hidden="false" customHeight="false" outlineLevel="0" collapsed="false">
      <c r="C1264" s="0" t="n">
        <f aca="false">IF(AND(Comments!B1262='Policy card'!$C$3,Comments!N1262="Open"),1,0)</f>
        <v>0</v>
      </c>
      <c r="D1264" s="0" t="str">
        <f aca="false">IF(C1264=1,E1264,IF(P1264=1,$E$2003+Q1264,""))</f>
        <v/>
      </c>
      <c r="E1264" s="0" t="n">
        <f aca="false">E1263+C1264</f>
        <v>0</v>
      </c>
      <c r="P1264" s="0" t="n">
        <f aca="false">IF(AND(Comments!B1262='Policy card'!$C$3,Comments!N1262="Closed"),1,0)</f>
        <v>0</v>
      </c>
      <c r="Q1264" s="0" t="n">
        <f aca="false">Q1263+P1264</f>
        <v>7</v>
      </c>
    </row>
    <row r="1265" customFormat="false" ht="15" hidden="false" customHeight="false" outlineLevel="0" collapsed="false">
      <c r="C1265" s="0" t="n">
        <f aca="false">IF(AND(Comments!B1263='Policy card'!$C$3,Comments!N1263="Open"),1,0)</f>
        <v>0</v>
      </c>
      <c r="D1265" s="0" t="str">
        <f aca="false">IF(C1265=1,E1265,IF(P1265=1,$E$2003+Q1265,""))</f>
        <v/>
      </c>
      <c r="E1265" s="0" t="n">
        <f aca="false">E1264+C1265</f>
        <v>0</v>
      </c>
      <c r="P1265" s="0" t="n">
        <f aca="false">IF(AND(Comments!B1263='Policy card'!$C$3,Comments!N1263="Closed"),1,0)</f>
        <v>0</v>
      </c>
      <c r="Q1265" s="0" t="n">
        <f aca="false">Q1264+P1265</f>
        <v>7</v>
      </c>
    </row>
    <row r="1266" customFormat="false" ht="15" hidden="false" customHeight="false" outlineLevel="0" collapsed="false">
      <c r="C1266" s="0" t="n">
        <f aca="false">IF(AND(Comments!B1264='Policy card'!$C$3,Comments!N1264="Open"),1,0)</f>
        <v>0</v>
      </c>
      <c r="D1266" s="0" t="str">
        <f aca="false">IF(C1266=1,E1266,IF(P1266=1,$E$2003+Q1266,""))</f>
        <v/>
      </c>
      <c r="E1266" s="0" t="n">
        <f aca="false">E1265+C1266</f>
        <v>0</v>
      </c>
      <c r="P1266" s="0" t="n">
        <f aca="false">IF(AND(Comments!B1264='Policy card'!$C$3,Comments!N1264="Closed"),1,0)</f>
        <v>0</v>
      </c>
      <c r="Q1266" s="0" t="n">
        <f aca="false">Q1265+P1266</f>
        <v>7</v>
      </c>
    </row>
    <row r="1267" customFormat="false" ht="15" hidden="false" customHeight="false" outlineLevel="0" collapsed="false">
      <c r="C1267" s="0" t="n">
        <f aca="false">IF(AND(Comments!B1265='Policy card'!$C$3,Comments!N1265="Open"),1,0)</f>
        <v>0</v>
      </c>
      <c r="D1267" s="0" t="str">
        <f aca="false">IF(C1267=1,E1267,IF(P1267=1,$E$2003+Q1267,""))</f>
        <v/>
      </c>
      <c r="E1267" s="0" t="n">
        <f aca="false">E1266+C1267</f>
        <v>0</v>
      </c>
      <c r="P1267" s="0" t="n">
        <f aca="false">IF(AND(Comments!B1265='Policy card'!$C$3,Comments!N1265="Closed"),1,0)</f>
        <v>0</v>
      </c>
      <c r="Q1267" s="0" t="n">
        <f aca="false">Q1266+P1267</f>
        <v>7</v>
      </c>
    </row>
    <row r="1268" customFormat="false" ht="15" hidden="false" customHeight="false" outlineLevel="0" collapsed="false">
      <c r="C1268" s="0" t="n">
        <f aca="false">IF(AND(Comments!B1266='Policy card'!$C$3,Comments!N1266="Open"),1,0)</f>
        <v>0</v>
      </c>
      <c r="D1268" s="0" t="str">
        <f aca="false">IF(C1268=1,E1268,IF(P1268=1,$E$2003+Q1268,""))</f>
        <v/>
      </c>
      <c r="E1268" s="0" t="n">
        <f aca="false">E1267+C1268</f>
        <v>0</v>
      </c>
      <c r="P1268" s="0" t="n">
        <f aca="false">IF(AND(Comments!B1266='Policy card'!$C$3,Comments!N1266="Closed"),1,0)</f>
        <v>0</v>
      </c>
      <c r="Q1268" s="0" t="n">
        <f aca="false">Q1267+P1268</f>
        <v>7</v>
      </c>
    </row>
    <row r="1269" customFormat="false" ht="15" hidden="false" customHeight="false" outlineLevel="0" collapsed="false">
      <c r="C1269" s="0" t="n">
        <f aca="false">IF(AND(Comments!B1267='Policy card'!$C$3,Comments!N1267="Open"),1,0)</f>
        <v>0</v>
      </c>
      <c r="D1269" s="0" t="str">
        <f aca="false">IF(C1269=1,E1269,IF(P1269=1,$E$2003+Q1269,""))</f>
        <v/>
      </c>
      <c r="E1269" s="0" t="n">
        <f aca="false">E1268+C1269</f>
        <v>0</v>
      </c>
      <c r="P1269" s="0" t="n">
        <f aca="false">IF(AND(Comments!B1267='Policy card'!$C$3,Comments!N1267="Closed"),1,0)</f>
        <v>0</v>
      </c>
      <c r="Q1269" s="0" t="n">
        <f aca="false">Q1268+P1269</f>
        <v>7</v>
      </c>
    </row>
    <row r="1270" customFormat="false" ht="15" hidden="false" customHeight="false" outlineLevel="0" collapsed="false">
      <c r="C1270" s="0" t="n">
        <f aca="false">IF(AND(Comments!B1268='Policy card'!$C$3,Comments!N1268="Open"),1,0)</f>
        <v>0</v>
      </c>
      <c r="D1270" s="0" t="str">
        <f aca="false">IF(C1270=1,E1270,IF(P1270=1,$E$2003+Q1270,""))</f>
        <v/>
      </c>
      <c r="E1270" s="0" t="n">
        <f aca="false">E1269+C1270</f>
        <v>0</v>
      </c>
      <c r="P1270" s="0" t="n">
        <f aca="false">IF(AND(Comments!B1268='Policy card'!$C$3,Comments!N1268="Closed"),1,0)</f>
        <v>0</v>
      </c>
      <c r="Q1270" s="0" t="n">
        <f aca="false">Q1269+P1270</f>
        <v>7</v>
      </c>
    </row>
    <row r="1271" customFormat="false" ht="15" hidden="false" customHeight="false" outlineLevel="0" collapsed="false">
      <c r="C1271" s="0" t="n">
        <f aca="false">IF(AND(Comments!B1269='Policy card'!$C$3,Comments!N1269="Open"),1,0)</f>
        <v>0</v>
      </c>
      <c r="D1271" s="0" t="str">
        <f aca="false">IF(C1271=1,E1271,IF(P1271=1,$E$2003+Q1271,""))</f>
        <v/>
      </c>
      <c r="E1271" s="0" t="n">
        <f aca="false">E1270+C1271</f>
        <v>0</v>
      </c>
      <c r="P1271" s="0" t="n">
        <f aca="false">IF(AND(Comments!B1269='Policy card'!$C$3,Comments!N1269="Closed"),1,0)</f>
        <v>0</v>
      </c>
      <c r="Q1271" s="0" t="n">
        <f aca="false">Q1270+P1271</f>
        <v>7</v>
      </c>
    </row>
    <row r="1272" customFormat="false" ht="15" hidden="false" customHeight="false" outlineLevel="0" collapsed="false">
      <c r="C1272" s="0" t="n">
        <f aca="false">IF(AND(Comments!B1270='Policy card'!$C$3,Comments!N1270="Open"),1,0)</f>
        <v>0</v>
      </c>
      <c r="D1272" s="0" t="str">
        <f aca="false">IF(C1272=1,E1272,IF(P1272=1,$E$2003+Q1272,""))</f>
        <v/>
      </c>
      <c r="E1272" s="0" t="n">
        <f aca="false">E1271+C1272</f>
        <v>0</v>
      </c>
      <c r="P1272" s="0" t="n">
        <f aca="false">IF(AND(Comments!B1270='Policy card'!$C$3,Comments!N1270="Closed"),1,0)</f>
        <v>0</v>
      </c>
      <c r="Q1272" s="0" t="n">
        <f aca="false">Q1271+P1272</f>
        <v>7</v>
      </c>
    </row>
    <row r="1273" customFormat="false" ht="15" hidden="false" customHeight="false" outlineLevel="0" collapsed="false">
      <c r="C1273" s="0" t="n">
        <f aca="false">IF(AND(Comments!B1271='Policy card'!$C$3,Comments!N1271="Open"),1,0)</f>
        <v>0</v>
      </c>
      <c r="D1273" s="0" t="str">
        <f aca="false">IF(C1273=1,E1273,IF(P1273=1,$E$2003+Q1273,""))</f>
        <v/>
      </c>
      <c r="E1273" s="0" t="n">
        <f aca="false">E1272+C1273</f>
        <v>0</v>
      </c>
      <c r="P1273" s="0" t="n">
        <f aca="false">IF(AND(Comments!B1271='Policy card'!$C$3,Comments!N1271="Closed"),1,0)</f>
        <v>0</v>
      </c>
      <c r="Q1273" s="0" t="n">
        <f aca="false">Q1272+P1273</f>
        <v>7</v>
      </c>
    </row>
    <row r="1274" customFormat="false" ht="15" hidden="false" customHeight="false" outlineLevel="0" collapsed="false">
      <c r="C1274" s="0" t="n">
        <f aca="false">IF(AND(Comments!B1272='Policy card'!$C$3,Comments!N1272="Open"),1,0)</f>
        <v>0</v>
      </c>
      <c r="D1274" s="0" t="str">
        <f aca="false">IF(C1274=1,E1274,IF(P1274=1,$E$2003+Q1274,""))</f>
        <v/>
      </c>
      <c r="E1274" s="0" t="n">
        <f aca="false">E1273+C1274</f>
        <v>0</v>
      </c>
      <c r="P1274" s="0" t="n">
        <f aca="false">IF(AND(Comments!B1272='Policy card'!$C$3,Comments!N1272="Closed"),1,0)</f>
        <v>0</v>
      </c>
      <c r="Q1274" s="0" t="n">
        <f aca="false">Q1273+P1274</f>
        <v>7</v>
      </c>
    </row>
    <row r="1275" customFormat="false" ht="15" hidden="false" customHeight="false" outlineLevel="0" collapsed="false">
      <c r="C1275" s="0" t="n">
        <f aca="false">IF(AND(Comments!B1273='Policy card'!$C$3,Comments!N1273="Open"),1,0)</f>
        <v>0</v>
      </c>
      <c r="D1275" s="0" t="str">
        <f aca="false">IF(C1275=1,E1275,IF(P1275=1,$E$2003+Q1275,""))</f>
        <v/>
      </c>
      <c r="E1275" s="0" t="n">
        <f aca="false">E1274+C1275</f>
        <v>0</v>
      </c>
      <c r="P1275" s="0" t="n">
        <f aca="false">IF(AND(Comments!B1273='Policy card'!$C$3,Comments!N1273="Closed"),1,0)</f>
        <v>0</v>
      </c>
      <c r="Q1275" s="0" t="n">
        <f aca="false">Q1274+P1275</f>
        <v>7</v>
      </c>
    </row>
    <row r="1276" customFormat="false" ht="15" hidden="false" customHeight="false" outlineLevel="0" collapsed="false">
      <c r="C1276" s="0" t="n">
        <f aca="false">IF(AND(Comments!B1274='Policy card'!$C$3,Comments!N1274="Open"),1,0)</f>
        <v>0</v>
      </c>
      <c r="D1276" s="0" t="str">
        <f aca="false">IF(C1276=1,E1276,IF(P1276=1,$E$2003+Q1276,""))</f>
        <v/>
      </c>
      <c r="E1276" s="0" t="n">
        <f aca="false">E1275+C1276</f>
        <v>0</v>
      </c>
      <c r="P1276" s="0" t="n">
        <f aca="false">IF(AND(Comments!B1274='Policy card'!$C$3,Comments!N1274="Closed"),1,0)</f>
        <v>0</v>
      </c>
      <c r="Q1276" s="0" t="n">
        <f aca="false">Q1275+P1276</f>
        <v>7</v>
      </c>
    </row>
    <row r="1277" customFormat="false" ht="15" hidden="false" customHeight="false" outlineLevel="0" collapsed="false">
      <c r="C1277" s="0" t="n">
        <f aca="false">IF(AND(Comments!B1275='Policy card'!$C$3,Comments!N1275="Open"),1,0)</f>
        <v>0</v>
      </c>
      <c r="D1277" s="0" t="str">
        <f aca="false">IF(C1277=1,E1277,IF(P1277=1,$E$2003+Q1277,""))</f>
        <v/>
      </c>
      <c r="E1277" s="0" t="n">
        <f aca="false">E1276+C1277</f>
        <v>0</v>
      </c>
      <c r="P1277" s="0" t="n">
        <f aca="false">IF(AND(Comments!B1275='Policy card'!$C$3,Comments!N1275="Closed"),1,0)</f>
        <v>0</v>
      </c>
      <c r="Q1277" s="0" t="n">
        <f aca="false">Q1276+P1277</f>
        <v>7</v>
      </c>
    </row>
    <row r="1278" customFormat="false" ht="15" hidden="false" customHeight="false" outlineLevel="0" collapsed="false">
      <c r="C1278" s="0" t="n">
        <f aca="false">IF(AND(Comments!B1276='Policy card'!$C$3,Comments!N1276="Open"),1,0)</f>
        <v>0</v>
      </c>
      <c r="D1278" s="0" t="str">
        <f aca="false">IF(C1278=1,E1278,IF(P1278=1,$E$2003+Q1278,""))</f>
        <v/>
      </c>
      <c r="E1278" s="0" t="n">
        <f aca="false">E1277+C1278</f>
        <v>0</v>
      </c>
      <c r="P1278" s="0" t="n">
        <f aca="false">IF(AND(Comments!B1276='Policy card'!$C$3,Comments!N1276="Closed"),1,0)</f>
        <v>0</v>
      </c>
      <c r="Q1278" s="0" t="n">
        <f aca="false">Q1277+P1278</f>
        <v>7</v>
      </c>
    </row>
    <row r="1279" customFormat="false" ht="15" hidden="false" customHeight="false" outlineLevel="0" collapsed="false">
      <c r="C1279" s="0" t="n">
        <f aca="false">IF(AND(Comments!B1277='Policy card'!$C$3,Comments!N1277="Open"),1,0)</f>
        <v>0</v>
      </c>
      <c r="D1279" s="0" t="str">
        <f aca="false">IF(C1279=1,E1279,IF(P1279=1,$E$2003+Q1279,""))</f>
        <v/>
      </c>
      <c r="E1279" s="0" t="n">
        <f aca="false">E1278+C1279</f>
        <v>0</v>
      </c>
      <c r="P1279" s="0" t="n">
        <f aca="false">IF(AND(Comments!B1277='Policy card'!$C$3,Comments!N1277="Closed"),1,0)</f>
        <v>0</v>
      </c>
      <c r="Q1279" s="0" t="n">
        <f aca="false">Q1278+P1279</f>
        <v>7</v>
      </c>
    </row>
    <row r="1280" customFormat="false" ht="15" hidden="false" customHeight="false" outlineLevel="0" collapsed="false">
      <c r="C1280" s="0" t="n">
        <f aca="false">IF(AND(Comments!B1278='Policy card'!$C$3,Comments!N1278="Open"),1,0)</f>
        <v>0</v>
      </c>
      <c r="D1280" s="0" t="str">
        <f aca="false">IF(C1280=1,E1280,IF(P1280=1,$E$2003+Q1280,""))</f>
        <v/>
      </c>
      <c r="E1280" s="0" t="n">
        <f aca="false">E1279+C1280</f>
        <v>0</v>
      </c>
      <c r="P1280" s="0" t="n">
        <f aca="false">IF(AND(Comments!B1278='Policy card'!$C$3,Comments!N1278="Closed"),1,0)</f>
        <v>0</v>
      </c>
      <c r="Q1280" s="0" t="n">
        <f aca="false">Q1279+P1280</f>
        <v>7</v>
      </c>
    </row>
    <row r="1281" customFormat="false" ht="15" hidden="false" customHeight="false" outlineLevel="0" collapsed="false">
      <c r="C1281" s="0" t="n">
        <f aca="false">IF(AND(Comments!B1279='Policy card'!$C$3,Comments!N1279="Open"),1,0)</f>
        <v>0</v>
      </c>
      <c r="D1281" s="0" t="str">
        <f aca="false">IF(C1281=1,E1281,IF(P1281=1,$E$2003+Q1281,""))</f>
        <v/>
      </c>
      <c r="E1281" s="0" t="n">
        <f aca="false">E1280+C1281</f>
        <v>0</v>
      </c>
      <c r="P1281" s="0" t="n">
        <f aca="false">IF(AND(Comments!B1279='Policy card'!$C$3,Comments!N1279="Closed"),1,0)</f>
        <v>0</v>
      </c>
      <c r="Q1281" s="0" t="n">
        <f aca="false">Q1280+P1281</f>
        <v>7</v>
      </c>
    </row>
    <row r="1282" customFormat="false" ht="15" hidden="false" customHeight="false" outlineLevel="0" collapsed="false">
      <c r="C1282" s="0" t="n">
        <f aca="false">IF(AND(Comments!B1280='Policy card'!$C$3,Comments!N1280="Open"),1,0)</f>
        <v>0</v>
      </c>
      <c r="D1282" s="0" t="str">
        <f aca="false">IF(C1282=1,E1282,IF(P1282=1,$E$2003+Q1282,""))</f>
        <v/>
      </c>
      <c r="E1282" s="0" t="n">
        <f aca="false">E1281+C1282</f>
        <v>0</v>
      </c>
      <c r="P1282" s="0" t="n">
        <f aca="false">IF(AND(Comments!B1280='Policy card'!$C$3,Comments!N1280="Closed"),1,0)</f>
        <v>0</v>
      </c>
      <c r="Q1282" s="0" t="n">
        <f aca="false">Q1281+P1282</f>
        <v>7</v>
      </c>
    </row>
    <row r="1283" customFormat="false" ht="15" hidden="false" customHeight="false" outlineLevel="0" collapsed="false">
      <c r="C1283" s="0" t="n">
        <f aca="false">IF(AND(Comments!B1281='Policy card'!$C$3,Comments!N1281="Open"),1,0)</f>
        <v>0</v>
      </c>
      <c r="D1283" s="0" t="str">
        <f aca="false">IF(C1283=1,E1283,IF(P1283=1,$E$2003+Q1283,""))</f>
        <v/>
      </c>
      <c r="E1283" s="0" t="n">
        <f aca="false">E1282+C1283</f>
        <v>0</v>
      </c>
      <c r="P1283" s="0" t="n">
        <f aca="false">IF(AND(Comments!B1281='Policy card'!$C$3,Comments!N1281="Closed"),1,0)</f>
        <v>0</v>
      </c>
      <c r="Q1283" s="0" t="n">
        <f aca="false">Q1282+P1283</f>
        <v>7</v>
      </c>
    </row>
    <row r="1284" customFormat="false" ht="15" hidden="false" customHeight="false" outlineLevel="0" collapsed="false">
      <c r="C1284" s="0" t="n">
        <f aca="false">IF(AND(Comments!B1282='Policy card'!$C$3,Comments!N1282="Open"),1,0)</f>
        <v>0</v>
      </c>
      <c r="D1284" s="0" t="str">
        <f aca="false">IF(C1284=1,E1284,IF(P1284=1,$E$2003+Q1284,""))</f>
        <v/>
      </c>
      <c r="E1284" s="0" t="n">
        <f aca="false">E1283+C1284</f>
        <v>0</v>
      </c>
      <c r="P1284" s="0" t="n">
        <f aca="false">IF(AND(Comments!B1282='Policy card'!$C$3,Comments!N1282="Closed"),1,0)</f>
        <v>0</v>
      </c>
      <c r="Q1284" s="0" t="n">
        <f aca="false">Q1283+P1284</f>
        <v>7</v>
      </c>
    </row>
    <row r="1285" customFormat="false" ht="15" hidden="false" customHeight="false" outlineLevel="0" collapsed="false">
      <c r="C1285" s="0" t="n">
        <f aca="false">IF(AND(Comments!B1283='Policy card'!$C$3,Comments!N1283="Open"),1,0)</f>
        <v>0</v>
      </c>
      <c r="D1285" s="0" t="str">
        <f aca="false">IF(C1285=1,E1285,IF(P1285=1,$E$2003+Q1285,""))</f>
        <v/>
      </c>
      <c r="E1285" s="0" t="n">
        <f aca="false">E1284+C1285</f>
        <v>0</v>
      </c>
      <c r="P1285" s="0" t="n">
        <f aca="false">IF(AND(Comments!B1283='Policy card'!$C$3,Comments!N1283="Closed"),1,0)</f>
        <v>0</v>
      </c>
      <c r="Q1285" s="0" t="n">
        <f aca="false">Q1284+P1285</f>
        <v>7</v>
      </c>
    </row>
    <row r="1286" customFormat="false" ht="15" hidden="false" customHeight="false" outlineLevel="0" collapsed="false">
      <c r="C1286" s="0" t="n">
        <f aca="false">IF(AND(Comments!B1284='Policy card'!$C$3,Comments!N1284="Open"),1,0)</f>
        <v>0</v>
      </c>
      <c r="D1286" s="0" t="str">
        <f aca="false">IF(C1286=1,E1286,IF(P1286=1,$E$2003+Q1286,""))</f>
        <v/>
      </c>
      <c r="E1286" s="0" t="n">
        <f aca="false">E1285+C1286</f>
        <v>0</v>
      </c>
      <c r="P1286" s="0" t="n">
        <f aca="false">IF(AND(Comments!B1284='Policy card'!$C$3,Comments!N1284="Closed"),1,0)</f>
        <v>0</v>
      </c>
      <c r="Q1286" s="0" t="n">
        <f aca="false">Q1285+P1286</f>
        <v>7</v>
      </c>
    </row>
    <row r="1287" customFormat="false" ht="15" hidden="false" customHeight="false" outlineLevel="0" collapsed="false">
      <c r="C1287" s="0" t="n">
        <f aca="false">IF(AND(Comments!B1285='Policy card'!$C$3,Comments!N1285="Open"),1,0)</f>
        <v>0</v>
      </c>
      <c r="D1287" s="0" t="str">
        <f aca="false">IF(C1287=1,E1287,IF(P1287=1,$E$2003+Q1287,""))</f>
        <v/>
      </c>
      <c r="E1287" s="0" t="n">
        <f aca="false">E1286+C1287</f>
        <v>0</v>
      </c>
      <c r="P1287" s="0" t="n">
        <f aca="false">IF(AND(Comments!B1285='Policy card'!$C$3,Comments!N1285="Closed"),1,0)</f>
        <v>0</v>
      </c>
      <c r="Q1287" s="0" t="n">
        <f aca="false">Q1286+P1287</f>
        <v>7</v>
      </c>
    </row>
    <row r="1288" customFormat="false" ht="15" hidden="false" customHeight="false" outlineLevel="0" collapsed="false">
      <c r="C1288" s="0" t="n">
        <f aca="false">IF(AND(Comments!B1286='Policy card'!$C$3,Comments!N1286="Open"),1,0)</f>
        <v>0</v>
      </c>
      <c r="D1288" s="0" t="str">
        <f aca="false">IF(C1288=1,E1288,IF(P1288=1,$E$2003+Q1288,""))</f>
        <v/>
      </c>
      <c r="E1288" s="0" t="n">
        <f aca="false">E1287+C1288</f>
        <v>0</v>
      </c>
      <c r="P1288" s="0" t="n">
        <f aca="false">IF(AND(Comments!B1286='Policy card'!$C$3,Comments!N1286="Closed"),1,0)</f>
        <v>0</v>
      </c>
      <c r="Q1288" s="0" t="n">
        <f aca="false">Q1287+P1288</f>
        <v>7</v>
      </c>
    </row>
    <row r="1289" customFormat="false" ht="15" hidden="false" customHeight="false" outlineLevel="0" collapsed="false">
      <c r="C1289" s="0" t="n">
        <f aca="false">IF(AND(Comments!B1287='Policy card'!$C$3,Comments!N1287="Open"),1,0)</f>
        <v>0</v>
      </c>
      <c r="D1289" s="0" t="str">
        <f aca="false">IF(C1289=1,E1289,IF(P1289=1,$E$2003+Q1289,""))</f>
        <v/>
      </c>
      <c r="E1289" s="0" t="n">
        <f aca="false">E1288+C1289</f>
        <v>0</v>
      </c>
      <c r="P1289" s="0" t="n">
        <f aca="false">IF(AND(Comments!B1287='Policy card'!$C$3,Comments!N1287="Closed"),1,0)</f>
        <v>0</v>
      </c>
      <c r="Q1289" s="0" t="n">
        <f aca="false">Q1288+P1289</f>
        <v>7</v>
      </c>
    </row>
    <row r="1290" customFormat="false" ht="15" hidden="false" customHeight="false" outlineLevel="0" collapsed="false">
      <c r="C1290" s="0" t="n">
        <f aca="false">IF(AND(Comments!B1288='Policy card'!$C$3,Comments!N1288="Open"),1,0)</f>
        <v>0</v>
      </c>
      <c r="D1290" s="0" t="str">
        <f aca="false">IF(C1290=1,E1290,IF(P1290=1,$E$2003+Q1290,""))</f>
        <v/>
      </c>
      <c r="E1290" s="0" t="n">
        <f aca="false">E1289+C1290</f>
        <v>0</v>
      </c>
      <c r="P1290" s="0" t="n">
        <f aca="false">IF(AND(Comments!B1288='Policy card'!$C$3,Comments!N1288="Closed"),1,0)</f>
        <v>0</v>
      </c>
      <c r="Q1290" s="0" t="n">
        <f aca="false">Q1289+P1290</f>
        <v>7</v>
      </c>
    </row>
    <row r="1291" customFormat="false" ht="15" hidden="false" customHeight="false" outlineLevel="0" collapsed="false">
      <c r="C1291" s="0" t="n">
        <f aca="false">IF(AND(Comments!B1289='Policy card'!$C$3,Comments!N1289="Open"),1,0)</f>
        <v>0</v>
      </c>
      <c r="D1291" s="0" t="str">
        <f aca="false">IF(C1291=1,E1291,IF(P1291=1,$E$2003+Q1291,""))</f>
        <v/>
      </c>
      <c r="E1291" s="0" t="n">
        <f aca="false">E1290+C1291</f>
        <v>0</v>
      </c>
      <c r="P1291" s="0" t="n">
        <f aca="false">IF(AND(Comments!B1289='Policy card'!$C$3,Comments!N1289="Closed"),1,0)</f>
        <v>0</v>
      </c>
      <c r="Q1291" s="0" t="n">
        <f aca="false">Q1290+P1291</f>
        <v>7</v>
      </c>
    </row>
    <row r="1292" customFormat="false" ht="15" hidden="false" customHeight="false" outlineLevel="0" collapsed="false">
      <c r="C1292" s="0" t="n">
        <f aca="false">IF(AND(Comments!B1290='Policy card'!$C$3,Comments!N1290="Open"),1,0)</f>
        <v>0</v>
      </c>
      <c r="D1292" s="0" t="str">
        <f aca="false">IF(C1292=1,E1292,IF(P1292=1,$E$2003+Q1292,""))</f>
        <v/>
      </c>
      <c r="E1292" s="0" t="n">
        <f aca="false">E1291+C1292</f>
        <v>0</v>
      </c>
      <c r="P1292" s="0" t="n">
        <f aca="false">IF(AND(Comments!B1290='Policy card'!$C$3,Comments!N1290="Closed"),1,0)</f>
        <v>0</v>
      </c>
      <c r="Q1292" s="0" t="n">
        <f aca="false">Q1291+P1292</f>
        <v>7</v>
      </c>
    </row>
    <row r="1293" customFormat="false" ht="15" hidden="false" customHeight="false" outlineLevel="0" collapsed="false">
      <c r="C1293" s="0" t="n">
        <f aca="false">IF(AND(Comments!B1291='Policy card'!$C$3,Comments!N1291="Open"),1,0)</f>
        <v>0</v>
      </c>
      <c r="D1293" s="0" t="str">
        <f aca="false">IF(C1293=1,E1293,IF(P1293=1,$E$2003+Q1293,""))</f>
        <v/>
      </c>
      <c r="E1293" s="0" t="n">
        <f aca="false">E1292+C1293</f>
        <v>0</v>
      </c>
      <c r="P1293" s="0" t="n">
        <f aca="false">IF(AND(Comments!B1291='Policy card'!$C$3,Comments!N1291="Closed"),1,0)</f>
        <v>0</v>
      </c>
      <c r="Q1293" s="0" t="n">
        <f aca="false">Q1292+P1293</f>
        <v>7</v>
      </c>
    </row>
    <row r="1294" customFormat="false" ht="15" hidden="false" customHeight="false" outlineLevel="0" collapsed="false">
      <c r="C1294" s="0" t="n">
        <f aca="false">IF(AND(Comments!B1292='Policy card'!$C$3,Comments!N1292="Open"),1,0)</f>
        <v>0</v>
      </c>
      <c r="D1294" s="0" t="str">
        <f aca="false">IF(C1294=1,E1294,IF(P1294=1,$E$2003+Q1294,""))</f>
        <v/>
      </c>
      <c r="E1294" s="0" t="n">
        <f aca="false">E1293+C1294</f>
        <v>0</v>
      </c>
      <c r="P1294" s="0" t="n">
        <f aca="false">IF(AND(Comments!B1292='Policy card'!$C$3,Comments!N1292="Closed"),1,0)</f>
        <v>0</v>
      </c>
      <c r="Q1294" s="0" t="n">
        <f aca="false">Q1293+P1294</f>
        <v>7</v>
      </c>
    </row>
    <row r="1295" customFormat="false" ht="15" hidden="false" customHeight="false" outlineLevel="0" collapsed="false">
      <c r="C1295" s="0" t="n">
        <f aca="false">IF(AND(Comments!B1293='Policy card'!$C$3,Comments!N1293="Open"),1,0)</f>
        <v>0</v>
      </c>
      <c r="D1295" s="0" t="str">
        <f aca="false">IF(C1295=1,E1295,IF(P1295=1,$E$2003+Q1295,""))</f>
        <v/>
      </c>
      <c r="E1295" s="0" t="n">
        <f aca="false">E1294+C1295</f>
        <v>0</v>
      </c>
      <c r="P1295" s="0" t="n">
        <f aca="false">IF(AND(Comments!B1293='Policy card'!$C$3,Comments!N1293="Closed"),1,0)</f>
        <v>0</v>
      </c>
      <c r="Q1295" s="0" t="n">
        <f aca="false">Q1294+P1295</f>
        <v>7</v>
      </c>
    </row>
    <row r="1296" customFormat="false" ht="15" hidden="false" customHeight="false" outlineLevel="0" collapsed="false">
      <c r="C1296" s="0" t="n">
        <f aca="false">IF(AND(Comments!B1294='Policy card'!$C$3,Comments!N1294="Open"),1,0)</f>
        <v>0</v>
      </c>
      <c r="D1296" s="0" t="str">
        <f aca="false">IF(C1296=1,E1296,IF(P1296=1,$E$2003+Q1296,""))</f>
        <v/>
      </c>
      <c r="E1296" s="0" t="n">
        <f aca="false">E1295+C1296</f>
        <v>0</v>
      </c>
      <c r="P1296" s="0" t="n">
        <f aca="false">IF(AND(Comments!B1294='Policy card'!$C$3,Comments!N1294="Closed"),1,0)</f>
        <v>0</v>
      </c>
      <c r="Q1296" s="0" t="n">
        <f aca="false">Q1295+P1296</f>
        <v>7</v>
      </c>
    </row>
    <row r="1297" customFormat="false" ht="15" hidden="false" customHeight="false" outlineLevel="0" collapsed="false">
      <c r="C1297" s="0" t="n">
        <f aca="false">IF(AND(Comments!B1295='Policy card'!$C$3,Comments!N1295="Open"),1,0)</f>
        <v>0</v>
      </c>
      <c r="D1297" s="0" t="str">
        <f aca="false">IF(C1297=1,E1297,IF(P1297=1,$E$2003+Q1297,""))</f>
        <v/>
      </c>
      <c r="E1297" s="0" t="n">
        <f aca="false">E1296+C1297</f>
        <v>0</v>
      </c>
      <c r="P1297" s="0" t="n">
        <f aca="false">IF(AND(Comments!B1295='Policy card'!$C$3,Comments!N1295="Closed"),1,0)</f>
        <v>0</v>
      </c>
      <c r="Q1297" s="0" t="n">
        <f aca="false">Q1296+P1297</f>
        <v>7</v>
      </c>
    </row>
    <row r="1298" customFormat="false" ht="15" hidden="false" customHeight="false" outlineLevel="0" collapsed="false">
      <c r="C1298" s="0" t="n">
        <f aca="false">IF(AND(Comments!B1296='Policy card'!$C$3,Comments!N1296="Open"),1,0)</f>
        <v>0</v>
      </c>
      <c r="D1298" s="0" t="str">
        <f aca="false">IF(C1298=1,E1298,IF(P1298=1,$E$2003+Q1298,""))</f>
        <v/>
      </c>
      <c r="E1298" s="0" t="n">
        <f aca="false">E1297+C1298</f>
        <v>0</v>
      </c>
      <c r="P1298" s="0" t="n">
        <f aca="false">IF(AND(Comments!B1296='Policy card'!$C$3,Comments!N1296="Closed"),1,0)</f>
        <v>0</v>
      </c>
      <c r="Q1298" s="0" t="n">
        <f aca="false">Q1297+P1298</f>
        <v>7</v>
      </c>
    </row>
    <row r="1299" customFormat="false" ht="15" hidden="false" customHeight="false" outlineLevel="0" collapsed="false">
      <c r="C1299" s="0" t="n">
        <f aca="false">IF(AND(Comments!B1297='Policy card'!$C$3,Comments!N1297="Open"),1,0)</f>
        <v>0</v>
      </c>
      <c r="D1299" s="0" t="str">
        <f aca="false">IF(C1299=1,E1299,IF(P1299=1,$E$2003+Q1299,""))</f>
        <v/>
      </c>
      <c r="E1299" s="0" t="n">
        <f aca="false">E1298+C1299</f>
        <v>0</v>
      </c>
      <c r="P1299" s="0" t="n">
        <f aca="false">IF(AND(Comments!B1297='Policy card'!$C$3,Comments!N1297="Closed"),1,0)</f>
        <v>0</v>
      </c>
      <c r="Q1299" s="0" t="n">
        <f aca="false">Q1298+P1299</f>
        <v>7</v>
      </c>
    </row>
    <row r="1300" customFormat="false" ht="15" hidden="false" customHeight="false" outlineLevel="0" collapsed="false">
      <c r="C1300" s="0" t="n">
        <f aca="false">IF(AND(Comments!B1298='Policy card'!$C$3,Comments!N1298="Open"),1,0)</f>
        <v>0</v>
      </c>
      <c r="D1300" s="0" t="str">
        <f aca="false">IF(C1300=1,E1300,IF(P1300=1,$E$2003+Q1300,""))</f>
        <v/>
      </c>
      <c r="E1300" s="0" t="n">
        <f aca="false">E1299+C1300</f>
        <v>0</v>
      </c>
      <c r="P1300" s="0" t="n">
        <f aca="false">IF(AND(Comments!B1298='Policy card'!$C$3,Comments!N1298="Closed"),1,0)</f>
        <v>0</v>
      </c>
      <c r="Q1300" s="0" t="n">
        <f aca="false">Q1299+P1300</f>
        <v>7</v>
      </c>
    </row>
    <row r="1301" customFormat="false" ht="15" hidden="false" customHeight="false" outlineLevel="0" collapsed="false">
      <c r="C1301" s="0" t="n">
        <f aca="false">IF(AND(Comments!B1299='Policy card'!$C$3,Comments!N1299="Open"),1,0)</f>
        <v>0</v>
      </c>
      <c r="D1301" s="0" t="str">
        <f aca="false">IF(C1301=1,E1301,IF(P1301=1,$E$2003+Q1301,""))</f>
        <v/>
      </c>
      <c r="E1301" s="0" t="n">
        <f aca="false">E1300+C1301</f>
        <v>0</v>
      </c>
      <c r="P1301" s="0" t="n">
        <f aca="false">IF(AND(Comments!B1299='Policy card'!$C$3,Comments!N1299="Closed"),1,0)</f>
        <v>0</v>
      </c>
      <c r="Q1301" s="0" t="n">
        <f aca="false">Q1300+P1301</f>
        <v>7</v>
      </c>
    </row>
    <row r="1302" customFormat="false" ht="15" hidden="false" customHeight="false" outlineLevel="0" collapsed="false">
      <c r="C1302" s="0" t="n">
        <f aca="false">IF(AND(Comments!B1300='Policy card'!$C$3,Comments!N1300="Open"),1,0)</f>
        <v>0</v>
      </c>
      <c r="D1302" s="0" t="str">
        <f aca="false">IF(C1302=1,E1302,IF(P1302=1,$E$2003+Q1302,""))</f>
        <v/>
      </c>
      <c r="E1302" s="0" t="n">
        <f aca="false">E1301+C1302</f>
        <v>0</v>
      </c>
      <c r="P1302" s="0" t="n">
        <f aca="false">IF(AND(Comments!B1300='Policy card'!$C$3,Comments!N1300="Closed"),1,0)</f>
        <v>0</v>
      </c>
      <c r="Q1302" s="0" t="n">
        <f aca="false">Q1301+P1302</f>
        <v>7</v>
      </c>
    </row>
    <row r="1303" customFormat="false" ht="15" hidden="false" customHeight="false" outlineLevel="0" collapsed="false">
      <c r="C1303" s="0" t="n">
        <f aca="false">IF(AND(Comments!B1301='Policy card'!$C$3,Comments!N1301="Open"),1,0)</f>
        <v>0</v>
      </c>
      <c r="D1303" s="0" t="str">
        <f aca="false">IF(C1303=1,E1303,IF(P1303=1,$E$2003+Q1303,""))</f>
        <v/>
      </c>
      <c r="E1303" s="0" t="n">
        <f aca="false">E1302+C1303</f>
        <v>0</v>
      </c>
      <c r="P1303" s="0" t="n">
        <f aca="false">IF(AND(Comments!B1301='Policy card'!$C$3,Comments!N1301="Closed"),1,0)</f>
        <v>0</v>
      </c>
      <c r="Q1303" s="0" t="n">
        <f aca="false">Q1302+P1303</f>
        <v>7</v>
      </c>
    </row>
    <row r="1304" customFormat="false" ht="15" hidden="false" customHeight="false" outlineLevel="0" collapsed="false">
      <c r="C1304" s="0" t="n">
        <f aca="false">IF(AND(Comments!B1302='Policy card'!$C$3,Comments!N1302="Open"),1,0)</f>
        <v>0</v>
      </c>
      <c r="D1304" s="0" t="str">
        <f aca="false">IF(C1304=1,E1304,IF(P1304=1,$E$2003+Q1304,""))</f>
        <v/>
      </c>
      <c r="E1304" s="0" t="n">
        <f aca="false">E1303+C1304</f>
        <v>0</v>
      </c>
      <c r="P1304" s="0" t="n">
        <f aca="false">IF(AND(Comments!B1302='Policy card'!$C$3,Comments!N1302="Closed"),1,0)</f>
        <v>0</v>
      </c>
      <c r="Q1304" s="0" t="n">
        <f aca="false">Q1303+P1304</f>
        <v>7</v>
      </c>
    </row>
    <row r="1305" customFormat="false" ht="15" hidden="false" customHeight="false" outlineLevel="0" collapsed="false">
      <c r="C1305" s="0" t="n">
        <f aca="false">IF(AND(Comments!B1303='Policy card'!$C$3,Comments!N1303="Open"),1,0)</f>
        <v>0</v>
      </c>
      <c r="D1305" s="0" t="str">
        <f aca="false">IF(C1305=1,E1305,IF(P1305=1,$E$2003+Q1305,""))</f>
        <v/>
      </c>
      <c r="E1305" s="0" t="n">
        <f aca="false">E1304+C1305</f>
        <v>0</v>
      </c>
      <c r="P1305" s="0" t="n">
        <f aca="false">IF(AND(Comments!B1303='Policy card'!$C$3,Comments!N1303="Closed"),1,0)</f>
        <v>0</v>
      </c>
      <c r="Q1305" s="0" t="n">
        <f aca="false">Q1304+P1305</f>
        <v>7</v>
      </c>
    </row>
    <row r="1306" customFormat="false" ht="15" hidden="false" customHeight="false" outlineLevel="0" collapsed="false">
      <c r="C1306" s="0" t="n">
        <f aca="false">IF(AND(Comments!B1304='Policy card'!$C$3,Comments!N1304="Open"),1,0)</f>
        <v>0</v>
      </c>
      <c r="D1306" s="0" t="str">
        <f aca="false">IF(C1306=1,E1306,IF(P1306=1,$E$2003+Q1306,""))</f>
        <v/>
      </c>
      <c r="E1306" s="0" t="n">
        <f aca="false">E1305+C1306</f>
        <v>0</v>
      </c>
      <c r="P1306" s="0" t="n">
        <f aca="false">IF(AND(Comments!B1304='Policy card'!$C$3,Comments!N1304="Closed"),1,0)</f>
        <v>0</v>
      </c>
      <c r="Q1306" s="0" t="n">
        <f aca="false">Q1305+P1306</f>
        <v>7</v>
      </c>
    </row>
    <row r="1307" customFormat="false" ht="15" hidden="false" customHeight="false" outlineLevel="0" collapsed="false">
      <c r="C1307" s="0" t="n">
        <f aca="false">IF(AND(Comments!B1305='Policy card'!$C$3,Comments!N1305="Open"),1,0)</f>
        <v>0</v>
      </c>
      <c r="D1307" s="0" t="str">
        <f aca="false">IF(C1307=1,E1307,IF(P1307=1,$E$2003+Q1307,""))</f>
        <v/>
      </c>
      <c r="E1307" s="0" t="n">
        <f aca="false">E1306+C1307</f>
        <v>0</v>
      </c>
      <c r="P1307" s="0" t="n">
        <f aca="false">IF(AND(Comments!B1305='Policy card'!$C$3,Comments!N1305="Closed"),1,0)</f>
        <v>0</v>
      </c>
      <c r="Q1307" s="0" t="n">
        <f aca="false">Q1306+P1307</f>
        <v>7</v>
      </c>
    </row>
    <row r="1308" customFormat="false" ht="15" hidden="false" customHeight="false" outlineLevel="0" collapsed="false">
      <c r="C1308" s="0" t="n">
        <f aca="false">IF(AND(Comments!B1306='Policy card'!$C$3,Comments!N1306="Open"),1,0)</f>
        <v>0</v>
      </c>
      <c r="D1308" s="0" t="str">
        <f aca="false">IF(C1308=1,E1308,IF(P1308=1,$E$2003+Q1308,""))</f>
        <v/>
      </c>
      <c r="E1308" s="0" t="n">
        <f aca="false">E1307+C1308</f>
        <v>0</v>
      </c>
      <c r="P1308" s="0" t="n">
        <f aca="false">IF(AND(Comments!B1306='Policy card'!$C$3,Comments!N1306="Closed"),1,0)</f>
        <v>0</v>
      </c>
      <c r="Q1308" s="0" t="n">
        <f aca="false">Q1307+P1308</f>
        <v>7</v>
      </c>
    </row>
    <row r="1309" customFormat="false" ht="15" hidden="false" customHeight="false" outlineLevel="0" collapsed="false">
      <c r="C1309" s="0" t="n">
        <f aca="false">IF(AND(Comments!B1307='Policy card'!$C$3,Comments!N1307="Open"),1,0)</f>
        <v>0</v>
      </c>
      <c r="D1309" s="0" t="str">
        <f aca="false">IF(C1309=1,E1309,IF(P1309=1,$E$2003+Q1309,""))</f>
        <v/>
      </c>
      <c r="E1309" s="0" t="n">
        <f aca="false">E1308+C1309</f>
        <v>0</v>
      </c>
      <c r="P1309" s="0" t="n">
        <f aca="false">IF(AND(Comments!B1307='Policy card'!$C$3,Comments!N1307="Closed"),1,0)</f>
        <v>0</v>
      </c>
      <c r="Q1309" s="0" t="n">
        <f aca="false">Q1308+P1309</f>
        <v>7</v>
      </c>
    </row>
    <row r="1310" customFormat="false" ht="15" hidden="false" customHeight="false" outlineLevel="0" collapsed="false">
      <c r="C1310" s="0" t="n">
        <f aca="false">IF(AND(Comments!B1308='Policy card'!$C$3,Comments!N1308="Open"),1,0)</f>
        <v>0</v>
      </c>
      <c r="D1310" s="0" t="str">
        <f aca="false">IF(C1310=1,E1310,IF(P1310=1,$E$2003+Q1310,""))</f>
        <v/>
      </c>
      <c r="E1310" s="0" t="n">
        <f aca="false">E1309+C1310</f>
        <v>0</v>
      </c>
      <c r="P1310" s="0" t="n">
        <f aca="false">IF(AND(Comments!B1308='Policy card'!$C$3,Comments!N1308="Closed"),1,0)</f>
        <v>0</v>
      </c>
      <c r="Q1310" s="0" t="n">
        <f aca="false">Q1309+P1310</f>
        <v>7</v>
      </c>
    </row>
    <row r="1311" customFormat="false" ht="15" hidden="false" customHeight="false" outlineLevel="0" collapsed="false">
      <c r="C1311" s="0" t="n">
        <f aca="false">IF(AND(Comments!B1309='Policy card'!$C$3,Comments!N1309="Open"),1,0)</f>
        <v>0</v>
      </c>
      <c r="D1311" s="0" t="str">
        <f aca="false">IF(C1311=1,E1311,IF(P1311=1,$E$2003+Q1311,""))</f>
        <v/>
      </c>
      <c r="E1311" s="0" t="n">
        <f aca="false">E1310+C1311</f>
        <v>0</v>
      </c>
      <c r="P1311" s="0" t="n">
        <f aca="false">IF(AND(Comments!B1309='Policy card'!$C$3,Comments!N1309="Closed"),1,0)</f>
        <v>0</v>
      </c>
      <c r="Q1311" s="0" t="n">
        <f aca="false">Q1310+P1311</f>
        <v>7</v>
      </c>
    </row>
    <row r="1312" customFormat="false" ht="15" hidden="false" customHeight="false" outlineLevel="0" collapsed="false">
      <c r="C1312" s="0" t="n">
        <f aca="false">IF(AND(Comments!B1310='Policy card'!$C$3,Comments!N1310="Open"),1,0)</f>
        <v>0</v>
      </c>
      <c r="D1312" s="0" t="str">
        <f aca="false">IF(C1312=1,E1312,IF(P1312=1,$E$2003+Q1312,""))</f>
        <v/>
      </c>
      <c r="E1312" s="0" t="n">
        <f aca="false">E1311+C1312</f>
        <v>0</v>
      </c>
      <c r="P1312" s="0" t="n">
        <f aca="false">IF(AND(Comments!B1310='Policy card'!$C$3,Comments!N1310="Closed"),1,0)</f>
        <v>0</v>
      </c>
      <c r="Q1312" s="0" t="n">
        <f aca="false">Q1311+P1312</f>
        <v>7</v>
      </c>
    </row>
    <row r="1313" customFormat="false" ht="15" hidden="false" customHeight="false" outlineLevel="0" collapsed="false">
      <c r="C1313" s="0" t="n">
        <f aca="false">IF(AND(Comments!B1311='Policy card'!$C$3,Comments!N1311="Open"),1,0)</f>
        <v>0</v>
      </c>
      <c r="D1313" s="0" t="str">
        <f aca="false">IF(C1313=1,E1313,IF(P1313=1,$E$2003+Q1313,""))</f>
        <v/>
      </c>
      <c r="E1313" s="0" t="n">
        <f aca="false">E1312+C1313</f>
        <v>0</v>
      </c>
      <c r="P1313" s="0" t="n">
        <f aca="false">IF(AND(Comments!B1311='Policy card'!$C$3,Comments!N1311="Closed"),1,0)</f>
        <v>0</v>
      </c>
      <c r="Q1313" s="0" t="n">
        <f aca="false">Q1312+P1313</f>
        <v>7</v>
      </c>
    </row>
    <row r="1314" customFormat="false" ht="15" hidden="false" customHeight="false" outlineLevel="0" collapsed="false">
      <c r="C1314" s="0" t="n">
        <f aca="false">IF(AND(Comments!B1312='Policy card'!$C$3,Comments!N1312="Open"),1,0)</f>
        <v>0</v>
      </c>
      <c r="D1314" s="0" t="str">
        <f aca="false">IF(C1314=1,E1314,IF(P1314=1,$E$2003+Q1314,""))</f>
        <v/>
      </c>
      <c r="E1314" s="0" t="n">
        <f aca="false">E1313+C1314</f>
        <v>0</v>
      </c>
      <c r="P1314" s="0" t="n">
        <f aca="false">IF(AND(Comments!B1312='Policy card'!$C$3,Comments!N1312="Closed"),1,0)</f>
        <v>0</v>
      </c>
      <c r="Q1314" s="0" t="n">
        <f aca="false">Q1313+P1314</f>
        <v>7</v>
      </c>
    </row>
    <row r="1315" customFormat="false" ht="15" hidden="false" customHeight="false" outlineLevel="0" collapsed="false">
      <c r="C1315" s="0" t="n">
        <f aca="false">IF(AND(Comments!B1313='Policy card'!$C$3,Comments!N1313="Open"),1,0)</f>
        <v>0</v>
      </c>
      <c r="D1315" s="0" t="str">
        <f aca="false">IF(C1315=1,E1315,IF(P1315=1,$E$2003+Q1315,""))</f>
        <v/>
      </c>
      <c r="E1315" s="0" t="n">
        <f aca="false">E1314+C1315</f>
        <v>0</v>
      </c>
      <c r="P1315" s="0" t="n">
        <f aca="false">IF(AND(Comments!B1313='Policy card'!$C$3,Comments!N1313="Closed"),1,0)</f>
        <v>0</v>
      </c>
      <c r="Q1315" s="0" t="n">
        <f aca="false">Q1314+P1315</f>
        <v>7</v>
      </c>
    </row>
    <row r="1316" customFormat="false" ht="15" hidden="false" customHeight="false" outlineLevel="0" collapsed="false">
      <c r="C1316" s="0" t="n">
        <f aca="false">IF(AND(Comments!B1314='Policy card'!$C$3,Comments!N1314="Open"),1,0)</f>
        <v>0</v>
      </c>
      <c r="D1316" s="0" t="str">
        <f aca="false">IF(C1316=1,E1316,IF(P1316=1,$E$2003+Q1316,""))</f>
        <v/>
      </c>
      <c r="E1316" s="0" t="n">
        <f aca="false">E1315+C1316</f>
        <v>0</v>
      </c>
      <c r="P1316" s="0" t="n">
        <f aca="false">IF(AND(Comments!B1314='Policy card'!$C$3,Comments!N1314="Closed"),1,0)</f>
        <v>0</v>
      </c>
      <c r="Q1316" s="0" t="n">
        <f aca="false">Q1315+P1316</f>
        <v>7</v>
      </c>
    </row>
    <row r="1317" customFormat="false" ht="15" hidden="false" customHeight="false" outlineLevel="0" collapsed="false">
      <c r="C1317" s="0" t="n">
        <f aca="false">IF(AND(Comments!B1315='Policy card'!$C$3,Comments!N1315="Open"),1,0)</f>
        <v>0</v>
      </c>
      <c r="D1317" s="0" t="str">
        <f aca="false">IF(C1317=1,E1317,IF(P1317=1,$E$2003+Q1317,""))</f>
        <v/>
      </c>
      <c r="E1317" s="0" t="n">
        <f aca="false">E1316+C1317</f>
        <v>0</v>
      </c>
      <c r="P1317" s="0" t="n">
        <f aca="false">IF(AND(Comments!B1315='Policy card'!$C$3,Comments!N1315="Closed"),1,0)</f>
        <v>0</v>
      </c>
      <c r="Q1317" s="0" t="n">
        <f aca="false">Q1316+P1317</f>
        <v>7</v>
      </c>
    </row>
    <row r="1318" customFormat="false" ht="15" hidden="false" customHeight="false" outlineLevel="0" collapsed="false">
      <c r="C1318" s="0" t="n">
        <f aca="false">IF(AND(Comments!B1316='Policy card'!$C$3,Comments!N1316="Open"),1,0)</f>
        <v>0</v>
      </c>
      <c r="D1318" s="0" t="str">
        <f aca="false">IF(C1318=1,E1318,IF(P1318=1,$E$2003+Q1318,""))</f>
        <v/>
      </c>
      <c r="E1318" s="0" t="n">
        <f aca="false">E1317+C1318</f>
        <v>0</v>
      </c>
      <c r="P1318" s="0" t="n">
        <f aca="false">IF(AND(Comments!B1316='Policy card'!$C$3,Comments!N1316="Closed"),1,0)</f>
        <v>0</v>
      </c>
      <c r="Q1318" s="0" t="n">
        <f aca="false">Q1317+P1318</f>
        <v>7</v>
      </c>
    </row>
    <row r="1319" customFormat="false" ht="15" hidden="false" customHeight="false" outlineLevel="0" collapsed="false">
      <c r="C1319" s="0" t="n">
        <f aca="false">IF(AND(Comments!B1317='Policy card'!$C$3,Comments!N1317="Open"),1,0)</f>
        <v>0</v>
      </c>
      <c r="D1319" s="0" t="str">
        <f aca="false">IF(C1319=1,E1319,IF(P1319=1,$E$2003+Q1319,""))</f>
        <v/>
      </c>
      <c r="E1319" s="0" t="n">
        <f aca="false">E1318+C1319</f>
        <v>0</v>
      </c>
      <c r="P1319" s="0" t="n">
        <f aca="false">IF(AND(Comments!B1317='Policy card'!$C$3,Comments!N1317="Closed"),1,0)</f>
        <v>0</v>
      </c>
      <c r="Q1319" s="0" t="n">
        <f aca="false">Q1318+P1319</f>
        <v>7</v>
      </c>
    </row>
    <row r="1320" customFormat="false" ht="15" hidden="false" customHeight="false" outlineLevel="0" collapsed="false">
      <c r="C1320" s="0" t="n">
        <f aca="false">IF(AND(Comments!B1318='Policy card'!$C$3,Comments!N1318="Open"),1,0)</f>
        <v>0</v>
      </c>
      <c r="D1320" s="0" t="str">
        <f aca="false">IF(C1320=1,E1320,IF(P1320=1,$E$2003+Q1320,""))</f>
        <v/>
      </c>
      <c r="E1320" s="0" t="n">
        <f aca="false">E1319+C1320</f>
        <v>0</v>
      </c>
      <c r="P1320" s="0" t="n">
        <f aca="false">IF(AND(Comments!B1318='Policy card'!$C$3,Comments!N1318="Closed"),1,0)</f>
        <v>0</v>
      </c>
      <c r="Q1320" s="0" t="n">
        <f aca="false">Q1319+P1320</f>
        <v>7</v>
      </c>
    </row>
    <row r="1321" customFormat="false" ht="15" hidden="false" customHeight="false" outlineLevel="0" collapsed="false">
      <c r="C1321" s="0" t="n">
        <f aca="false">IF(AND(Comments!B1319='Policy card'!$C$3,Comments!N1319="Open"),1,0)</f>
        <v>0</v>
      </c>
      <c r="D1321" s="0" t="str">
        <f aca="false">IF(C1321=1,E1321,IF(P1321=1,$E$2003+Q1321,""))</f>
        <v/>
      </c>
      <c r="E1321" s="0" t="n">
        <f aca="false">E1320+C1321</f>
        <v>0</v>
      </c>
      <c r="P1321" s="0" t="n">
        <f aca="false">IF(AND(Comments!B1319='Policy card'!$C$3,Comments!N1319="Closed"),1,0)</f>
        <v>0</v>
      </c>
      <c r="Q1321" s="0" t="n">
        <f aca="false">Q1320+P1321</f>
        <v>7</v>
      </c>
    </row>
    <row r="1322" customFormat="false" ht="15" hidden="false" customHeight="false" outlineLevel="0" collapsed="false">
      <c r="C1322" s="0" t="n">
        <f aca="false">IF(AND(Comments!B1320='Policy card'!$C$3,Comments!N1320="Open"),1,0)</f>
        <v>0</v>
      </c>
      <c r="D1322" s="0" t="str">
        <f aca="false">IF(C1322=1,E1322,IF(P1322=1,$E$2003+Q1322,""))</f>
        <v/>
      </c>
      <c r="E1322" s="0" t="n">
        <f aca="false">E1321+C1322</f>
        <v>0</v>
      </c>
      <c r="P1322" s="0" t="n">
        <f aca="false">IF(AND(Comments!B1320='Policy card'!$C$3,Comments!N1320="Closed"),1,0)</f>
        <v>0</v>
      </c>
      <c r="Q1322" s="0" t="n">
        <f aca="false">Q1321+P1322</f>
        <v>7</v>
      </c>
    </row>
    <row r="1323" customFormat="false" ht="15" hidden="false" customHeight="false" outlineLevel="0" collapsed="false">
      <c r="C1323" s="0" t="n">
        <f aca="false">IF(AND(Comments!B1321='Policy card'!$C$3,Comments!N1321="Open"),1,0)</f>
        <v>0</v>
      </c>
      <c r="D1323" s="0" t="str">
        <f aca="false">IF(C1323=1,E1323,IF(P1323=1,$E$2003+Q1323,""))</f>
        <v/>
      </c>
      <c r="E1323" s="0" t="n">
        <f aca="false">E1322+C1323</f>
        <v>0</v>
      </c>
      <c r="P1323" s="0" t="n">
        <f aca="false">IF(AND(Comments!B1321='Policy card'!$C$3,Comments!N1321="Closed"),1,0)</f>
        <v>0</v>
      </c>
      <c r="Q1323" s="0" t="n">
        <f aca="false">Q1322+P1323</f>
        <v>7</v>
      </c>
    </row>
    <row r="1324" customFormat="false" ht="15" hidden="false" customHeight="false" outlineLevel="0" collapsed="false">
      <c r="C1324" s="0" t="n">
        <f aca="false">IF(AND(Comments!B1322='Policy card'!$C$3,Comments!N1322="Open"),1,0)</f>
        <v>0</v>
      </c>
      <c r="D1324" s="0" t="str">
        <f aca="false">IF(C1324=1,E1324,IF(P1324=1,$E$2003+Q1324,""))</f>
        <v/>
      </c>
      <c r="E1324" s="0" t="n">
        <f aca="false">E1323+C1324</f>
        <v>0</v>
      </c>
      <c r="P1324" s="0" t="n">
        <f aca="false">IF(AND(Comments!B1322='Policy card'!$C$3,Comments!N1322="Closed"),1,0)</f>
        <v>0</v>
      </c>
      <c r="Q1324" s="0" t="n">
        <f aca="false">Q1323+P1324</f>
        <v>7</v>
      </c>
    </row>
    <row r="1325" customFormat="false" ht="15" hidden="false" customHeight="false" outlineLevel="0" collapsed="false">
      <c r="C1325" s="0" t="n">
        <f aca="false">IF(AND(Comments!B1323='Policy card'!$C$3,Comments!N1323="Open"),1,0)</f>
        <v>0</v>
      </c>
      <c r="D1325" s="0" t="str">
        <f aca="false">IF(C1325=1,E1325,IF(P1325=1,$E$2003+Q1325,""))</f>
        <v/>
      </c>
      <c r="E1325" s="0" t="n">
        <f aca="false">E1324+C1325</f>
        <v>0</v>
      </c>
      <c r="P1325" s="0" t="n">
        <f aca="false">IF(AND(Comments!B1323='Policy card'!$C$3,Comments!N1323="Closed"),1,0)</f>
        <v>0</v>
      </c>
      <c r="Q1325" s="0" t="n">
        <f aca="false">Q1324+P1325</f>
        <v>7</v>
      </c>
    </row>
    <row r="1326" customFormat="false" ht="15" hidden="false" customHeight="false" outlineLevel="0" collapsed="false">
      <c r="C1326" s="0" t="n">
        <f aca="false">IF(AND(Comments!B1324='Policy card'!$C$3,Comments!N1324="Open"),1,0)</f>
        <v>0</v>
      </c>
      <c r="D1326" s="0" t="str">
        <f aca="false">IF(C1326=1,E1326,IF(P1326=1,$E$2003+Q1326,""))</f>
        <v/>
      </c>
      <c r="E1326" s="0" t="n">
        <f aca="false">E1325+C1326</f>
        <v>0</v>
      </c>
      <c r="P1326" s="0" t="n">
        <f aca="false">IF(AND(Comments!B1324='Policy card'!$C$3,Comments!N1324="Closed"),1,0)</f>
        <v>0</v>
      </c>
      <c r="Q1326" s="0" t="n">
        <f aca="false">Q1325+P1326</f>
        <v>7</v>
      </c>
    </row>
    <row r="1327" customFormat="false" ht="15" hidden="false" customHeight="false" outlineLevel="0" collapsed="false">
      <c r="C1327" s="0" t="n">
        <f aca="false">IF(AND(Comments!B1325='Policy card'!$C$3,Comments!N1325="Open"),1,0)</f>
        <v>0</v>
      </c>
      <c r="D1327" s="0" t="str">
        <f aca="false">IF(C1327=1,E1327,IF(P1327=1,$E$2003+Q1327,""))</f>
        <v/>
      </c>
      <c r="E1327" s="0" t="n">
        <f aca="false">E1326+C1327</f>
        <v>0</v>
      </c>
      <c r="P1327" s="0" t="n">
        <f aca="false">IF(AND(Comments!B1325='Policy card'!$C$3,Comments!N1325="Closed"),1,0)</f>
        <v>0</v>
      </c>
      <c r="Q1327" s="0" t="n">
        <f aca="false">Q1326+P1327</f>
        <v>7</v>
      </c>
    </row>
    <row r="1328" customFormat="false" ht="15" hidden="false" customHeight="false" outlineLevel="0" collapsed="false">
      <c r="C1328" s="0" t="n">
        <f aca="false">IF(AND(Comments!B1326='Policy card'!$C$3,Comments!N1326="Open"),1,0)</f>
        <v>0</v>
      </c>
      <c r="D1328" s="0" t="str">
        <f aca="false">IF(C1328=1,E1328,IF(P1328=1,$E$2003+Q1328,""))</f>
        <v/>
      </c>
      <c r="E1328" s="0" t="n">
        <f aca="false">E1327+C1328</f>
        <v>0</v>
      </c>
      <c r="P1328" s="0" t="n">
        <f aca="false">IF(AND(Comments!B1326='Policy card'!$C$3,Comments!N1326="Closed"),1,0)</f>
        <v>0</v>
      </c>
      <c r="Q1328" s="0" t="n">
        <f aca="false">Q1327+P1328</f>
        <v>7</v>
      </c>
    </row>
    <row r="1329" customFormat="false" ht="15" hidden="false" customHeight="false" outlineLevel="0" collapsed="false">
      <c r="C1329" s="0" t="n">
        <f aca="false">IF(AND(Comments!B1327='Policy card'!$C$3,Comments!N1327="Open"),1,0)</f>
        <v>0</v>
      </c>
      <c r="D1329" s="0" t="str">
        <f aca="false">IF(C1329=1,E1329,IF(P1329=1,$E$2003+Q1329,""))</f>
        <v/>
      </c>
      <c r="E1329" s="0" t="n">
        <f aca="false">E1328+C1329</f>
        <v>0</v>
      </c>
      <c r="P1329" s="0" t="n">
        <f aca="false">IF(AND(Comments!B1327='Policy card'!$C$3,Comments!N1327="Closed"),1,0)</f>
        <v>0</v>
      </c>
      <c r="Q1329" s="0" t="n">
        <f aca="false">Q1328+P1329</f>
        <v>7</v>
      </c>
    </row>
    <row r="1330" customFormat="false" ht="15" hidden="false" customHeight="false" outlineLevel="0" collapsed="false">
      <c r="C1330" s="0" t="n">
        <f aca="false">IF(AND(Comments!B1328='Policy card'!$C$3,Comments!N1328="Open"),1,0)</f>
        <v>0</v>
      </c>
      <c r="D1330" s="0" t="str">
        <f aca="false">IF(C1330=1,E1330,IF(P1330=1,$E$2003+Q1330,""))</f>
        <v/>
      </c>
      <c r="E1330" s="0" t="n">
        <f aca="false">E1329+C1330</f>
        <v>0</v>
      </c>
      <c r="P1330" s="0" t="n">
        <f aca="false">IF(AND(Comments!B1328='Policy card'!$C$3,Comments!N1328="Closed"),1,0)</f>
        <v>0</v>
      </c>
      <c r="Q1330" s="0" t="n">
        <f aca="false">Q1329+P1330</f>
        <v>7</v>
      </c>
    </row>
    <row r="1331" customFormat="false" ht="15" hidden="false" customHeight="false" outlineLevel="0" collapsed="false">
      <c r="C1331" s="0" t="n">
        <f aca="false">IF(AND(Comments!B1329='Policy card'!$C$3,Comments!N1329="Open"),1,0)</f>
        <v>0</v>
      </c>
      <c r="D1331" s="0" t="str">
        <f aca="false">IF(C1331=1,E1331,IF(P1331=1,$E$2003+Q1331,""))</f>
        <v/>
      </c>
      <c r="E1331" s="0" t="n">
        <f aca="false">E1330+C1331</f>
        <v>0</v>
      </c>
      <c r="P1331" s="0" t="n">
        <f aca="false">IF(AND(Comments!B1329='Policy card'!$C$3,Comments!N1329="Closed"),1,0)</f>
        <v>0</v>
      </c>
      <c r="Q1331" s="0" t="n">
        <f aca="false">Q1330+P1331</f>
        <v>7</v>
      </c>
    </row>
    <row r="1332" customFormat="false" ht="15" hidden="false" customHeight="false" outlineLevel="0" collapsed="false">
      <c r="C1332" s="0" t="n">
        <f aca="false">IF(AND(Comments!B1330='Policy card'!$C$3,Comments!N1330="Open"),1,0)</f>
        <v>0</v>
      </c>
      <c r="D1332" s="0" t="str">
        <f aca="false">IF(C1332=1,E1332,IF(P1332=1,$E$2003+Q1332,""))</f>
        <v/>
      </c>
      <c r="E1332" s="0" t="n">
        <f aca="false">E1331+C1332</f>
        <v>0</v>
      </c>
      <c r="P1332" s="0" t="n">
        <f aca="false">IF(AND(Comments!B1330='Policy card'!$C$3,Comments!N1330="Closed"),1,0)</f>
        <v>0</v>
      </c>
      <c r="Q1332" s="0" t="n">
        <f aca="false">Q1331+P1332</f>
        <v>7</v>
      </c>
    </row>
    <row r="1333" customFormat="false" ht="15" hidden="false" customHeight="false" outlineLevel="0" collapsed="false">
      <c r="C1333" s="0" t="n">
        <f aca="false">IF(AND(Comments!B1331='Policy card'!$C$3,Comments!N1331="Open"),1,0)</f>
        <v>0</v>
      </c>
      <c r="D1333" s="0" t="str">
        <f aca="false">IF(C1333=1,E1333,IF(P1333=1,$E$2003+Q1333,""))</f>
        <v/>
      </c>
      <c r="E1333" s="0" t="n">
        <f aca="false">E1332+C1333</f>
        <v>0</v>
      </c>
      <c r="P1333" s="0" t="n">
        <f aca="false">IF(AND(Comments!B1331='Policy card'!$C$3,Comments!N1331="Closed"),1,0)</f>
        <v>0</v>
      </c>
      <c r="Q1333" s="0" t="n">
        <f aca="false">Q1332+P1333</f>
        <v>7</v>
      </c>
    </row>
    <row r="1334" customFormat="false" ht="15" hidden="false" customHeight="false" outlineLevel="0" collapsed="false">
      <c r="C1334" s="0" t="n">
        <f aca="false">IF(AND(Comments!B1332='Policy card'!$C$3,Comments!N1332="Open"),1,0)</f>
        <v>0</v>
      </c>
      <c r="D1334" s="0" t="str">
        <f aca="false">IF(C1334=1,E1334,IF(P1334=1,$E$2003+Q1334,""))</f>
        <v/>
      </c>
      <c r="E1334" s="0" t="n">
        <f aca="false">E1333+C1334</f>
        <v>0</v>
      </c>
      <c r="P1334" s="0" t="n">
        <f aca="false">IF(AND(Comments!B1332='Policy card'!$C$3,Comments!N1332="Closed"),1,0)</f>
        <v>0</v>
      </c>
      <c r="Q1334" s="0" t="n">
        <f aca="false">Q1333+P1334</f>
        <v>7</v>
      </c>
    </row>
    <row r="1335" customFormat="false" ht="15" hidden="false" customHeight="false" outlineLevel="0" collapsed="false">
      <c r="C1335" s="0" t="n">
        <f aca="false">IF(AND(Comments!B1333='Policy card'!$C$3,Comments!N1333="Open"),1,0)</f>
        <v>0</v>
      </c>
      <c r="D1335" s="0" t="str">
        <f aca="false">IF(C1335=1,E1335,IF(P1335=1,$E$2003+Q1335,""))</f>
        <v/>
      </c>
      <c r="E1335" s="0" t="n">
        <f aca="false">E1334+C1335</f>
        <v>0</v>
      </c>
      <c r="P1335" s="0" t="n">
        <f aca="false">IF(AND(Comments!B1333='Policy card'!$C$3,Comments!N1333="Closed"),1,0)</f>
        <v>0</v>
      </c>
      <c r="Q1335" s="0" t="n">
        <f aca="false">Q1334+P1335</f>
        <v>7</v>
      </c>
    </row>
    <row r="1336" customFormat="false" ht="15" hidden="false" customHeight="false" outlineLevel="0" collapsed="false">
      <c r="C1336" s="0" t="n">
        <f aca="false">IF(AND(Comments!B1334='Policy card'!$C$3,Comments!N1334="Open"),1,0)</f>
        <v>0</v>
      </c>
      <c r="D1336" s="0" t="str">
        <f aca="false">IF(C1336=1,E1336,IF(P1336=1,$E$2003+Q1336,""))</f>
        <v/>
      </c>
      <c r="E1336" s="0" t="n">
        <f aca="false">E1335+C1336</f>
        <v>0</v>
      </c>
      <c r="P1336" s="0" t="n">
        <f aca="false">IF(AND(Comments!B1334='Policy card'!$C$3,Comments!N1334="Closed"),1,0)</f>
        <v>0</v>
      </c>
      <c r="Q1336" s="0" t="n">
        <f aca="false">Q1335+P1336</f>
        <v>7</v>
      </c>
    </row>
    <row r="1337" customFormat="false" ht="15" hidden="false" customHeight="false" outlineLevel="0" collapsed="false">
      <c r="C1337" s="0" t="n">
        <f aca="false">IF(AND(Comments!B1335='Policy card'!$C$3,Comments!N1335="Open"),1,0)</f>
        <v>0</v>
      </c>
      <c r="D1337" s="0" t="str">
        <f aca="false">IF(C1337=1,E1337,IF(P1337=1,$E$2003+Q1337,""))</f>
        <v/>
      </c>
      <c r="E1337" s="0" t="n">
        <f aca="false">E1336+C1337</f>
        <v>0</v>
      </c>
      <c r="P1337" s="0" t="n">
        <f aca="false">IF(AND(Comments!B1335='Policy card'!$C$3,Comments!N1335="Closed"),1,0)</f>
        <v>0</v>
      </c>
      <c r="Q1337" s="0" t="n">
        <f aca="false">Q1336+P1337</f>
        <v>7</v>
      </c>
    </row>
    <row r="1338" customFormat="false" ht="15" hidden="false" customHeight="false" outlineLevel="0" collapsed="false">
      <c r="C1338" s="0" t="n">
        <f aca="false">IF(AND(Comments!B1336='Policy card'!$C$3,Comments!N1336="Open"),1,0)</f>
        <v>0</v>
      </c>
      <c r="D1338" s="0" t="str">
        <f aca="false">IF(C1338=1,E1338,IF(P1338=1,$E$2003+Q1338,""))</f>
        <v/>
      </c>
      <c r="E1338" s="0" t="n">
        <f aca="false">E1337+C1338</f>
        <v>0</v>
      </c>
      <c r="P1338" s="0" t="n">
        <f aca="false">IF(AND(Comments!B1336='Policy card'!$C$3,Comments!N1336="Closed"),1,0)</f>
        <v>0</v>
      </c>
      <c r="Q1338" s="0" t="n">
        <f aca="false">Q1337+P1338</f>
        <v>7</v>
      </c>
    </row>
    <row r="1339" customFormat="false" ht="15" hidden="false" customHeight="false" outlineLevel="0" collapsed="false">
      <c r="C1339" s="0" t="n">
        <f aca="false">IF(AND(Comments!B1337='Policy card'!$C$3,Comments!N1337="Open"),1,0)</f>
        <v>0</v>
      </c>
      <c r="D1339" s="0" t="str">
        <f aca="false">IF(C1339=1,E1339,IF(P1339=1,$E$2003+Q1339,""))</f>
        <v/>
      </c>
      <c r="E1339" s="0" t="n">
        <f aca="false">E1338+C1339</f>
        <v>0</v>
      </c>
      <c r="P1339" s="0" t="n">
        <f aca="false">IF(AND(Comments!B1337='Policy card'!$C$3,Comments!N1337="Closed"),1,0)</f>
        <v>0</v>
      </c>
      <c r="Q1339" s="0" t="n">
        <f aca="false">Q1338+P1339</f>
        <v>7</v>
      </c>
    </row>
    <row r="1340" customFormat="false" ht="15" hidden="false" customHeight="false" outlineLevel="0" collapsed="false">
      <c r="C1340" s="0" t="n">
        <f aca="false">IF(AND(Comments!B1338='Policy card'!$C$3,Comments!N1338="Open"),1,0)</f>
        <v>0</v>
      </c>
      <c r="D1340" s="0" t="str">
        <f aca="false">IF(C1340=1,E1340,IF(P1340=1,$E$2003+Q1340,""))</f>
        <v/>
      </c>
      <c r="E1340" s="0" t="n">
        <f aca="false">E1339+C1340</f>
        <v>0</v>
      </c>
      <c r="P1340" s="0" t="n">
        <f aca="false">IF(AND(Comments!B1338='Policy card'!$C$3,Comments!N1338="Closed"),1,0)</f>
        <v>0</v>
      </c>
      <c r="Q1340" s="0" t="n">
        <f aca="false">Q1339+P1340</f>
        <v>7</v>
      </c>
    </row>
    <row r="1341" customFormat="false" ht="15" hidden="false" customHeight="false" outlineLevel="0" collapsed="false">
      <c r="C1341" s="0" t="n">
        <f aca="false">IF(AND(Comments!B1339='Policy card'!$C$3,Comments!N1339="Open"),1,0)</f>
        <v>0</v>
      </c>
      <c r="D1341" s="0" t="str">
        <f aca="false">IF(C1341=1,E1341,IF(P1341=1,$E$2003+Q1341,""))</f>
        <v/>
      </c>
      <c r="E1341" s="0" t="n">
        <f aca="false">E1340+C1341</f>
        <v>0</v>
      </c>
      <c r="P1341" s="0" t="n">
        <f aca="false">IF(AND(Comments!B1339='Policy card'!$C$3,Comments!N1339="Closed"),1,0)</f>
        <v>0</v>
      </c>
      <c r="Q1341" s="0" t="n">
        <f aca="false">Q1340+P1341</f>
        <v>7</v>
      </c>
    </row>
    <row r="1342" customFormat="false" ht="15" hidden="false" customHeight="false" outlineLevel="0" collapsed="false">
      <c r="C1342" s="0" t="n">
        <f aca="false">IF(AND(Comments!B1340='Policy card'!$C$3,Comments!N1340="Open"),1,0)</f>
        <v>0</v>
      </c>
      <c r="D1342" s="0" t="str">
        <f aca="false">IF(C1342=1,E1342,IF(P1342=1,$E$2003+Q1342,""))</f>
        <v/>
      </c>
      <c r="E1342" s="0" t="n">
        <f aca="false">E1341+C1342</f>
        <v>0</v>
      </c>
      <c r="P1342" s="0" t="n">
        <f aca="false">IF(AND(Comments!B1340='Policy card'!$C$3,Comments!N1340="Closed"),1,0)</f>
        <v>0</v>
      </c>
      <c r="Q1342" s="0" t="n">
        <f aca="false">Q1341+P1342</f>
        <v>7</v>
      </c>
    </row>
    <row r="1343" customFormat="false" ht="15" hidden="false" customHeight="false" outlineLevel="0" collapsed="false">
      <c r="C1343" s="0" t="n">
        <f aca="false">IF(AND(Comments!B1341='Policy card'!$C$3,Comments!N1341="Open"),1,0)</f>
        <v>0</v>
      </c>
      <c r="D1343" s="0" t="str">
        <f aca="false">IF(C1343=1,E1343,IF(P1343=1,$E$2003+Q1343,""))</f>
        <v/>
      </c>
      <c r="E1343" s="0" t="n">
        <f aca="false">E1342+C1343</f>
        <v>0</v>
      </c>
      <c r="P1343" s="0" t="n">
        <f aca="false">IF(AND(Comments!B1341='Policy card'!$C$3,Comments!N1341="Closed"),1,0)</f>
        <v>0</v>
      </c>
      <c r="Q1343" s="0" t="n">
        <f aca="false">Q1342+P1343</f>
        <v>7</v>
      </c>
    </row>
    <row r="1344" customFormat="false" ht="15" hidden="false" customHeight="false" outlineLevel="0" collapsed="false">
      <c r="C1344" s="0" t="n">
        <f aca="false">IF(AND(Comments!B1342='Policy card'!$C$3,Comments!N1342="Open"),1,0)</f>
        <v>0</v>
      </c>
      <c r="D1344" s="0" t="str">
        <f aca="false">IF(C1344=1,E1344,IF(P1344=1,$E$2003+Q1344,""))</f>
        <v/>
      </c>
      <c r="E1344" s="0" t="n">
        <f aca="false">E1343+C1344</f>
        <v>0</v>
      </c>
      <c r="P1344" s="0" t="n">
        <f aca="false">IF(AND(Comments!B1342='Policy card'!$C$3,Comments!N1342="Closed"),1,0)</f>
        <v>0</v>
      </c>
      <c r="Q1344" s="0" t="n">
        <f aca="false">Q1343+P1344</f>
        <v>7</v>
      </c>
    </row>
    <row r="1345" customFormat="false" ht="15" hidden="false" customHeight="false" outlineLevel="0" collapsed="false">
      <c r="C1345" s="0" t="n">
        <f aca="false">IF(AND(Comments!B1343='Policy card'!$C$3,Comments!N1343="Open"),1,0)</f>
        <v>0</v>
      </c>
      <c r="D1345" s="0" t="str">
        <f aca="false">IF(C1345=1,E1345,IF(P1345=1,$E$2003+Q1345,""))</f>
        <v/>
      </c>
      <c r="E1345" s="0" t="n">
        <f aca="false">E1344+C1345</f>
        <v>0</v>
      </c>
      <c r="P1345" s="0" t="n">
        <f aca="false">IF(AND(Comments!B1343='Policy card'!$C$3,Comments!N1343="Closed"),1,0)</f>
        <v>0</v>
      </c>
      <c r="Q1345" s="0" t="n">
        <f aca="false">Q1344+P1345</f>
        <v>7</v>
      </c>
    </row>
    <row r="1346" customFormat="false" ht="15" hidden="false" customHeight="false" outlineLevel="0" collapsed="false">
      <c r="C1346" s="0" t="n">
        <f aca="false">IF(AND(Comments!B1344='Policy card'!$C$3,Comments!N1344="Open"),1,0)</f>
        <v>0</v>
      </c>
      <c r="D1346" s="0" t="str">
        <f aca="false">IF(C1346=1,E1346,IF(P1346=1,$E$2003+Q1346,""))</f>
        <v/>
      </c>
      <c r="E1346" s="0" t="n">
        <f aca="false">E1345+C1346</f>
        <v>0</v>
      </c>
      <c r="P1346" s="0" t="n">
        <f aca="false">IF(AND(Comments!B1344='Policy card'!$C$3,Comments!N1344="Closed"),1,0)</f>
        <v>0</v>
      </c>
      <c r="Q1346" s="0" t="n">
        <f aca="false">Q1345+P1346</f>
        <v>7</v>
      </c>
    </row>
    <row r="1347" customFormat="false" ht="15" hidden="false" customHeight="false" outlineLevel="0" collapsed="false">
      <c r="C1347" s="0" t="n">
        <f aca="false">IF(AND(Comments!B1345='Policy card'!$C$3,Comments!N1345="Open"),1,0)</f>
        <v>0</v>
      </c>
      <c r="D1347" s="0" t="str">
        <f aca="false">IF(C1347=1,E1347,IF(P1347=1,$E$2003+Q1347,""))</f>
        <v/>
      </c>
      <c r="E1347" s="0" t="n">
        <f aca="false">E1346+C1347</f>
        <v>0</v>
      </c>
      <c r="P1347" s="0" t="n">
        <f aca="false">IF(AND(Comments!B1345='Policy card'!$C$3,Comments!N1345="Closed"),1,0)</f>
        <v>0</v>
      </c>
      <c r="Q1347" s="0" t="n">
        <f aca="false">Q1346+P1347</f>
        <v>7</v>
      </c>
    </row>
    <row r="1348" customFormat="false" ht="15" hidden="false" customHeight="false" outlineLevel="0" collapsed="false">
      <c r="C1348" s="0" t="n">
        <f aca="false">IF(AND(Comments!B1346='Policy card'!$C$3,Comments!N1346="Open"),1,0)</f>
        <v>0</v>
      </c>
      <c r="D1348" s="0" t="str">
        <f aca="false">IF(C1348=1,E1348,IF(P1348=1,$E$2003+Q1348,""))</f>
        <v/>
      </c>
      <c r="E1348" s="0" t="n">
        <f aca="false">E1347+C1348</f>
        <v>0</v>
      </c>
      <c r="P1348" s="0" t="n">
        <f aca="false">IF(AND(Comments!B1346='Policy card'!$C$3,Comments!N1346="Closed"),1,0)</f>
        <v>0</v>
      </c>
      <c r="Q1348" s="0" t="n">
        <f aca="false">Q1347+P1348</f>
        <v>7</v>
      </c>
    </row>
    <row r="1349" customFormat="false" ht="15" hidden="false" customHeight="false" outlineLevel="0" collapsed="false">
      <c r="C1349" s="0" t="n">
        <f aca="false">IF(AND(Comments!B1347='Policy card'!$C$3,Comments!N1347="Open"),1,0)</f>
        <v>0</v>
      </c>
      <c r="D1349" s="0" t="str">
        <f aca="false">IF(C1349=1,E1349,IF(P1349=1,$E$2003+Q1349,""))</f>
        <v/>
      </c>
      <c r="E1349" s="0" t="n">
        <f aca="false">E1348+C1349</f>
        <v>0</v>
      </c>
      <c r="P1349" s="0" t="n">
        <f aca="false">IF(AND(Comments!B1347='Policy card'!$C$3,Comments!N1347="Closed"),1,0)</f>
        <v>0</v>
      </c>
      <c r="Q1349" s="0" t="n">
        <f aca="false">Q1348+P1349</f>
        <v>7</v>
      </c>
    </row>
    <row r="1350" customFormat="false" ht="15" hidden="false" customHeight="false" outlineLevel="0" collapsed="false">
      <c r="C1350" s="0" t="n">
        <f aca="false">IF(AND(Comments!B1348='Policy card'!$C$3,Comments!N1348="Open"),1,0)</f>
        <v>0</v>
      </c>
      <c r="D1350" s="0" t="str">
        <f aca="false">IF(C1350=1,E1350,IF(P1350=1,$E$2003+Q1350,""))</f>
        <v/>
      </c>
      <c r="E1350" s="0" t="n">
        <f aca="false">E1349+C1350</f>
        <v>0</v>
      </c>
      <c r="P1350" s="0" t="n">
        <f aca="false">IF(AND(Comments!B1348='Policy card'!$C$3,Comments!N1348="Closed"),1,0)</f>
        <v>0</v>
      </c>
      <c r="Q1350" s="0" t="n">
        <f aca="false">Q1349+P1350</f>
        <v>7</v>
      </c>
    </row>
    <row r="1351" customFormat="false" ht="15" hidden="false" customHeight="false" outlineLevel="0" collapsed="false">
      <c r="C1351" s="0" t="n">
        <f aca="false">IF(AND(Comments!B1349='Policy card'!$C$3,Comments!N1349="Open"),1,0)</f>
        <v>0</v>
      </c>
      <c r="D1351" s="0" t="str">
        <f aca="false">IF(C1351=1,E1351,IF(P1351=1,$E$2003+Q1351,""))</f>
        <v/>
      </c>
      <c r="E1351" s="0" t="n">
        <f aca="false">E1350+C1351</f>
        <v>0</v>
      </c>
      <c r="P1351" s="0" t="n">
        <f aca="false">IF(AND(Comments!B1349='Policy card'!$C$3,Comments!N1349="Closed"),1,0)</f>
        <v>0</v>
      </c>
      <c r="Q1351" s="0" t="n">
        <f aca="false">Q1350+P1351</f>
        <v>7</v>
      </c>
    </row>
    <row r="1352" customFormat="false" ht="15" hidden="false" customHeight="false" outlineLevel="0" collapsed="false">
      <c r="C1352" s="0" t="n">
        <f aca="false">IF(AND(Comments!B1350='Policy card'!$C$3,Comments!N1350="Open"),1,0)</f>
        <v>0</v>
      </c>
      <c r="D1352" s="0" t="str">
        <f aca="false">IF(C1352=1,E1352,IF(P1352=1,$E$2003+Q1352,""))</f>
        <v/>
      </c>
      <c r="E1352" s="0" t="n">
        <f aca="false">E1351+C1352</f>
        <v>0</v>
      </c>
      <c r="P1352" s="0" t="n">
        <f aca="false">IF(AND(Comments!B1350='Policy card'!$C$3,Comments!N1350="Closed"),1,0)</f>
        <v>0</v>
      </c>
      <c r="Q1352" s="0" t="n">
        <f aca="false">Q1351+P1352</f>
        <v>7</v>
      </c>
    </row>
    <row r="1353" customFormat="false" ht="15" hidden="false" customHeight="false" outlineLevel="0" collapsed="false">
      <c r="C1353" s="0" t="n">
        <f aca="false">IF(AND(Comments!B1351='Policy card'!$C$3,Comments!N1351="Open"),1,0)</f>
        <v>0</v>
      </c>
      <c r="D1353" s="0" t="str">
        <f aca="false">IF(C1353=1,E1353,IF(P1353=1,$E$2003+Q1353,""))</f>
        <v/>
      </c>
      <c r="E1353" s="0" t="n">
        <f aca="false">E1352+C1353</f>
        <v>0</v>
      </c>
      <c r="P1353" s="0" t="n">
        <f aca="false">IF(AND(Comments!B1351='Policy card'!$C$3,Comments!N1351="Closed"),1,0)</f>
        <v>0</v>
      </c>
      <c r="Q1353" s="0" t="n">
        <f aca="false">Q1352+P1353</f>
        <v>7</v>
      </c>
    </row>
    <row r="1354" customFormat="false" ht="15" hidden="false" customHeight="false" outlineLevel="0" collapsed="false">
      <c r="C1354" s="0" t="n">
        <f aca="false">IF(AND(Comments!B1352='Policy card'!$C$3,Comments!N1352="Open"),1,0)</f>
        <v>0</v>
      </c>
      <c r="D1354" s="0" t="str">
        <f aca="false">IF(C1354=1,E1354,IF(P1354=1,$E$2003+Q1354,""))</f>
        <v/>
      </c>
      <c r="E1354" s="0" t="n">
        <f aca="false">E1353+C1354</f>
        <v>0</v>
      </c>
      <c r="P1354" s="0" t="n">
        <f aca="false">IF(AND(Comments!B1352='Policy card'!$C$3,Comments!N1352="Closed"),1,0)</f>
        <v>0</v>
      </c>
      <c r="Q1354" s="0" t="n">
        <f aca="false">Q1353+P1354</f>
        <v>7</v>
      </c>
    </row>
    <row r="1355" customFormat="false" ht="15" hidden="false" customHeight="false" outlineLevel="0" collapsed="false">
      <c r="C1355" s="0" t="n">
        <f aca="false">IF(AND(Comments!B1353='Policy card'!$C$3,Comments!N1353="Open"),1,0)</f>
        <v>0</v>
      </c>
      <c r="D1355" s="0" t="str">
        <f aca="false">IF(C1355=1,E1355,IF(P1355=1,$E$2003+Q1355,""))</f>
        <v/>
      </c>
      <c r="E1355" s="0" t="n">
        <f aca="false">E1354+C1355</f>
        <v>0</v>
      </c>
      <c r="P1355" s="0" t="n">
        <f aca="false">IF(AND(Comments!B1353='Policy card'!$C$3,Comments!N1353="Closed"),1,0)</f>
        <v>0</v>
      </c>
      <c r="Q1355" s="0" t="n">
        <f aca="false">Q1354+P1355</f>
        <v>7</v>
      </c>
    </row>
    <row r="1356" customFormat="false" ht="15" hidden="false" customHeight="false" outlineLevel="0" collapsed="false">
      <c r="C1356" s="0" t="n">
        <f aca="false">IF(AND(Comments!B1354='Policy card'!$C$3,Comments!N1354="Open"),1,0)</f>
        <v>0</v>
      </c>
      <c r="D1356" s="0" t="str">
        <f aca="false">IF(C1356=1,E1356,IF(P1356=1,$E$2003+Q1356,""))</f>
        <v/>
      </c>
      <c r="E1356" s="0" t="n">
        <f aca="false">E1355+C1356</f>
        <v>0</v>
      </c>
      <c r="P1356" s="0" t="n">
        <f aca="false">IF(AND(Comments!B1354='Policy card'!$C$3,Comments!N1354="Closed"),1,0)</f>
        <v>0</v>
      </c>
      <c r="Q1356" s="0" t="n">
        <f aca="false">Q1355+P1356</f>
        <v>7</v>
      </c>
    </row>
    <row r="1357" customFormat="false" ht="15" hidden="false" customHeight="false" outlineLevel="0" collapsed="false">
      <c r="C1357" s="0" t="n">
        <f aca="false">IF(AND(Comments!B1355='Policy card'!$C$3,Comments!N1355="Open"),1,0)</f>
        <v>0</v>
      </c>
      <c r="D1357" s="0" t="str">
        <f aca="false">IF(C1357=1,E1357,IF(P1357=1,$E$2003+Q1357,""))</f>
        <v/>
      </c>
      <c r="E1357" s="0" t="n">
        <f aca="false">E1356+C1357</f>
        <v>0</v>
      </c>
      <c r="P1357" s="0" t="n">
        <f aca="false">IF(AND(Comments!B1355='Policy card'!$C$3,Comments!N1355="Closed"),1,0)</f>
        <v>0</v>
      </c>
      <c r="Q1357" s="0" t="n">
        <f aca="false">Q1356+P1357</f>
        <v>7</v>
      </c>
    </row>
    <row r="1358" customFormat="false" ht="15" hidden="false" customHeight="false" outlineLevel="0" collapsed="false">
      <c r="C1358" s="0" t="n">
        <f aca="false">IF(AND(Comments!B1356='Policy card'!$C$3,Comments!N1356="Open"),1,0)</f>
        <v>0</v>
      </c>
      <c r="D1358" s="0" t="str">
        <f aca="false">IF(C1358=1,E1358,IF(P1358=1,$E$2003+Q1358,""))</f>
        <v/>
      </c>
      <c r="E1358" s="0" t="n">
        <f aca="false">E1357+C1358</f>
        <v>0</v>
      </c>
      <c r="P1358" s="0" t="n">
        <f aca="false">IF(AND(Comments!B1356='Policy card'!$C$3,Comments!N1356="Closed"),1,0)</f>
        <v>0</v>
      </c>
      <c r="Q1358" s="0" t="n">
        <f aca="false">Q1357+P1358</f>
        <v>7</v>
      </c>
    </row>
    <row r="1359" customFormat="false" ht="15" hidden="false" customHeight="false" outlineLevel="0" collapsed="false">
      <c r="C1359" s="0" t="n">
        <f aca="false">IF(AND(Comments!B1357='Policy card'!$C$3,Comments!N1357="Open"),1,0)</f>
        <v>0</v>
      </c>
      <c r="D1359" s="0" t="str">
        <f aca="false">IF(C1359=1,E1359,IF(P1359=1,$E$2003+Q1359,""))</f>
        <v/>
      </c>
      <c r="E1359" s="0" t="n">
        <f aca="false">E1358+C1359</f>
        <v>0</v>
      </c>
      <c r="P1359" s="0" t="n">
        <f aca="false">IF(AND(Comments!B1357='Policy card'!$C$3,Comments!N1357="Closed"),1,0)</f>
        <v>0</v>
      </c>
      <c r="Q1359" s="0" t="n">
        <f aca="false">Q1358+P1359</f>
        <v>7</v>
      </c>
    </row>
    <row r="1360" customFormat="false" ht="15" hidden="false" customHeight="false" outlineLevel="0" collapsed="false">
      <c r="C1360" s="0" t="n">
        <f aca="false">IF(AND(Comments!B1358='Policy card'!$C$3,Comments!N1358="Open"),1,0)</f>
        <v>0</v>
      </c>
      <c r="D1360" s="0" t="str">
        <f aca="false">IF(C1360=1,E1360,IF(P1360=1,$E$2003+Q1360,""))</f>
        <v/>
      </c>
      <c r="E1360" s="0" t="n">
        <f aca="false">E1359+C1360</f>
        <v>0</v>
      </c>
      <c r="P1360" s="0" t="n">
        <f aca="false">IF(AND(Comments!B1358='Policy card'!$C$3,Comments!N1358="Closed"),1,0)</f>
        <v>0</v>
      </c>
      <c r="Q1360" s="0" t="n">
        <f aca="false">Q1359+P1360</f>
        <v>7</v>
      </c>
    </row>
    <row r="1361" customFormat="false" ht="15" hidden="false" customHeight="false" outlineLevel="0" collapsed="false">
      <c r="C1361" s="0" t="n">
        <f aca="false">IF(AND(Comments!B1359='Policy card'!$C$3,Comments!N1359="Open"),1,0)</f>
        <v>0</v>
      </c>
      <c r="D1361" s="0" t="str">
        <f aca="false">IF(C1361=1,E1361,IF(P1361=1,$E$2003+Q1361,""))</f>
        <v/>
      </c>
      <c r="E1361" s="0" t="n">
        <f aca="false">E1360+C1361</f>
        <v>0</v>
      </c>
      <c r="P1361" s="0" t="n">
        <f aca="false">IF(AND(Comments!B1359='Policy card'!$C$3,Comments!N1359="Closed"),1,0)</f>
        <v>0</v>
      </c>
      <c r="Q1361" s="0" t="n">
        <f aca="false">Q1360+P1361</f>
        <v>7</v>
      </c>
    </row>
    <row r="1362" customFormat="false" ht="15" hidden="false" customHeight="false" outlineLevel="0" collapsed="false">
      <c r="C1362" s="0" t="n">
        <f aca="false">IF(AND(Comments!B1360='Policy card'!$C$3,Comments!N1360="Open"),1,0)</f>
        <v>0</v>
      </c>
      <c r="D1362" s="0" t="str">
        <f aca="false">IF(C1362=1,E1362,IF(P1362=1,$E$2003+Q1362,""))</f>
        <v/>
      </c>
      <c r="E1362" s="0" t="n">
        <f aca="false">E1361+C1362</f>
        <v>0</v>
      </c>
      <c r="P1362" s="0" t="n">
        <f aca="false">IF(AND(Comments!B1360='Policy card'!$C$3,Comments!N1360="Closed"),1,0)</f>
        <v>0</v>
      </c>
      <c r="Q1362" s="0" t="n">
        <f aca="false">Q1361+P1362</f>
        <v>7</v>
      </c>
    </row>
    <row r="1363" customFormat="false" ht="15" hidden="false" customHeight="false" outlineLevel="0" collapsed="false">
      <c r="C1363" s="0" t="n">
        <f aca="false">IF(AND(Comments!B1361='Policy card'!$C$3,Comments!N1361="Open"),1,0)</f>
        <v>0</v>
      </c>
      <c r="D1363" s="0" t="str">
        <f aca="false">IF(C1363=1,E1363,IF(P1363=1,$E$2003+Q1363,""))</f>
        <v/>
      </c>
      <c r="E1363" s="0" t="n">
        <f aca="false">E1362+C1363</f>
        <v>0</v>
      </c>
      <c r="P1363" s="0" t="n">
        <f aca="false">IF(AND(Comments!B1361='Policy card'!$C$3,Comments!N1361="Closed"),1,0)</f>
        <v>0</v>
      </c>
      <c r="Q1363" s="0" t="n">
        <f aca="false">Q1362+P1363</f>
        <v>7</v>
      </c>
    </row>
    <row r="1364" customFormat="false" ht="15" hidden="false" customHeight="false" outlineLevel="0" collapsed="false">
      <c r="C1364" s="0" t="n">
        <f aca="false">IF(AND(Comments!B1362='Policy card'!$C$3,Comments!N1362="Open"),1,0)</f>
        <v>0</v>
      </c>
      <c r="D1364" s="0" t="str">
        <f aca="false">IF(C1364=1,E1364,IF(P1364=1,$E$2003+Q1364,""))</f>
        <v/>
      </c>
      <c r="E1364" s="0" t="n">
        <f aca="false">E1363+C1364</f>
        <v>0</v>
      </c>
      <c r="P1364" s="0" t="n">
        <f aca="false">IF(AND(Comments!B1362='Policy card'!$C$3,Comments!N1362="Closed"),1,0)</f>
        <v>0</v>
      </c>
      <c r="Q1364" s="0" t="n">
        <f aca="false">Q1363+P1364</f>
        <v>7</v>
      </c>
    </row>
    <row r="1365" customFormat="false" ht="15" hidden="false" customHeight="false" outlineLevel="0" collapsed="false">
      <c r="C1365" s="0" t="n">
        <f aca="false">IF(AND(Comments!B1363='Policy card'!$C$3,Comments!N1363="Open"),1,0)</f>
        <v>0</v>
      </c>
      <c r="D1365" s="0" t="str">
        <f aca="false">IF(C1365=1,E1365,IF(P1365=1,$E$2003+Q1365,""))</f>
        <v/>
      </c>
      <c r="E1365" s="0" t="n">
        <f aca="false">E1364+C1365</f>
        <v>0</v>
      </c>
      <c r="P1365" s="0" t="n">
        <f aca="false">IF(AND(Comments!B1363='Policy card'!$C$3,Comments!N1363="Closed"),1,0)</f>
        <v>0</v>
      </c>
      <c r="Q1365" s="0" t="n">
        <f aca="false">Q1364+P1365</f>
        <v>7</v>
      </c>
    </row>
    <row r="1366" customFormat="false" ht="15" hidden="false" customHeight="false" outlineLevel="0" collapsed="false">
      <c r="C1366" s="0" t="n">
        <f aca="false">IF(AND(Comments!B1364='Policy card'!$C$3,Comments!N1364="Open"),1,0)</f>
        <v>0</v>
      </c>
      <c r="D1366" s="0" t="str">
        <f aca="false">IF(C1366=1,E1366,IF(P1366=1,$E$2003+Q1366,""))</f>
        <v/>
      </c>
      <c r="E1366" s="0" t="n">
        <f aca="false">E1365+C1366</f>
        <v>0</v>
      </c>
      <c r="P1366" s="0" t="n">
        <f aca="false">IF(AND(Comments!B1364='Policy card'!$C$3,Comments!N1364="Closed"),1,0)</f>
        <v>0</v>
      </c>
      <c r="Q1366" s="0" t="n">
        <f aca="false">Q1365+P1366</f>
        <v>7</v>
      </c>
    </row>
    <row r="1367" customFormat="false" ht="15" hidden="false" customHeight="false" outlineLevel="0" collapsed="false">
      <c r="C1367" s="0" t="n">
        <f aca="false">IF(AND(Comments!B1365='Policy card'!$C$3,Comments!N1365="Open"),1,0)</f>
        <v>0</v>
      </c>
      <c r="D1367" s="0" t="str">
        <f aca="false">IF(C1367=1,E1367,IF(P1367=1,$E$2003+Q1367,""))</f>
        <v/>
      </c>
      <c r="E1367" s="0" t="n">
        <f aca="false">E1366+C1367</f>
        <v>0</v>
      </c>
      <c r="P1367" s="0" t="n">
        <f aca="false">IF(AND(Comments!B1365='Policy card'!$C$3,Comments!N1365="Closed"),1,0)</f>
        <v>0</v>
      </c>
      <c r="Q1367" s="0" t="n">
        <f aca="false">Q1366+P1367</f>
        <v>7</v>
      </c>
    </row>
    <row r="1368" customFormat="false" ht="15" hidden="false" customHeight="false" outlineLevel="0" collapsed="false">
      <c r="C1368" s="0" t="n">
        <f aca="false">IF(AND(Comments!B1366='Policy card'!$C$3,Comments!N1366="Open"),1,0)</f>
        <v>0</v>
      </c>
      <c r="D1368" s="0" t="str">
        <f aca="false">IF(C1368=1,E1368,IF(P1368=1,$E$2003+Q1368,""))</f>
        <v/>
      </c>
      <c r="E1368" s="0" t="n">
        <f aca="false">E1367+C1368</f>
        <v>0</v>
      </c>
      <c r="P1368" s="0" t="n">
        <f aca="false">IF(AND(Comments!B1366='Policy card'!$C$3,Comments!N1366="Closed"),1,0)</f>
        <v>0</v>
      </c>
      <c r="Q1368" s="0" t="n">
        <f aca="false">Q1367+P1368</f>
        <v>7</v>
      </c>
    </row>
    <row r="1369" customFormat="false" ht="15" hidden="false" customHeight="false" outlineLevel="0" collapsed="false">
      <c r="C1369" s="0" t="n">
        <f aca="false">IF(AND(Comments!B1367='Policy card'!$C$3,Comments!N1367="Open"),1,0)</f>
        <v>0</v>
      </c>
      <c r="D1369" s="0" t="str">
        <f aca="false">IF(C1369=1,E1369,IF(P1369=1,$E$2003+Q1369,""))</f>
        <v/>
      </c>
      <c r="E1369" s="0" t="n">
        <f aca="false">E1368+C1369</f>
        <v>0</v>
      </c>
      <c r="P1369" s="0" t="n">
        <f aca="false">IF(AND(Comments!B1367='Policy card'!$C$3,Comments!N1367="Closed"),1,0)</f>
        <v>0</v>
      </c>
      <c r="Q1369" s="0" t="n">
        <f aca="false">Q1368+P1369</f>
        <v>7</v>
      </c>
    </row>
    <row r="1370" customFormat="false" ht="15" hidden="false" customHeight="false" outlineLevel="0" collapsed="false">
      <c r="C1370" s="0" t="n">
        <f aca="false">IF(AND(Comments!B1368='Policy card'!$C$3,Comments!N1368="Open"),1,0)</f>
        <v>0</v>
      </c>
      <c r="D1370" s="0" t="str">
        <f aca="false">IF(C1370=1,E1370,IF(P1370=1,$E$2003+Q1370,""))</f>
        <v/>
      </c>
      <c r="E1370" s="0" t="n">
        <f aca="false">E1369+C1370</f>
        <v>0</v>
      </c>
      <c r="P1370" s="0" t="n">
        <f aca="false">IF(AND(Comments!B1368='Policy card'!$C$3,Comments!N1368="Closed"),1,0)</f>
        <v>0</v>
      </c>
      <c r="Q1370" s="0" t="n">
        <f aca="false">Q1369+P1370</f>
        <v>7</v>
      </c>
    </row>
    <row r="1371" customFormat="false" ht="15" hidden="false" customHeight="false" outlineLevel="0" collapsed="false">
      <c r="C1371" s="0" t="n">
        <f aca="false">IF(AND(Comments!B1369='Policy card'!$C$3,Comments!N1369="Open"),1,0)</f>
        <v>0</v>
      </c>
      <c r="D1371" s="0" t="str">
        <f aca="false">IF(C1371=1,E1371,IF(P1371=1,$E$2003+Q1371,""))</f>
        <v/>
      </c>
      <c r="E1371" s="0" t="n">
        <f aca="false">E1370+C1371</f>
        <v>0</v>
      </c>
      <c r="P1371" s="0" t="n">
        <f aca="false">IF(AND(Comments!B1369='Policy card'!$C$3,Comments!N1369="Closed"),1,0)</f>
        <v>0</v>
      </c>
      <c r="Q1371" s="0" t="n">
        <f aca="false">Q1370+P1371</f>
        <v>7</v>
      </c>
    </row>
    <row r="1372" customFormat="false" ht="15" hidden="false" customHeight="false" outlineLevel="0" collapsed="false">
      <c r="C1372" s="0" t="n">
        <f aca="false">IF(AND(Comments!B1370='Policy card'!$C$3,Comments!N1370="Open"),1,0)</f>
        <v>0</v>
      </c>
      <c r="D1372" s="0" t="str">
        <f aca="false">IF(C1372=1,E1372,IF(P1372=1,$E$2003+Q1372,""))</f>
        <v/>
      </c>
      <c r="E1372" s="0" t="n">
        <f aca="false">E1371+C1372</f>
        <v>0</v>
      </c>
      <c r="P1372" s="0" t="n">
        <f aca="false">IF(AND(Comments!B1370='Policy card'!$C$3,Comments!N1370="Closed"),1,0)</f>
        <v>0</v>
      </c>
      <c r="Q1372" s="0" t="n">
        <f aca="false">Q1371+P1372</f>
        <v>7</v>
      </c>
    </row>
    <row r="1373" customFormat="false" ht="15" hidden="false" customHeight="false" outlineLevel="0" collapsed="false">
      <c r="C1373" s="0" t="n">
        <f aca="false">IF(AND(Comments!B1371='Policy card'!$C$3,Comments!N1371="Open"),1,0)</f>
        <v>0</v>
      </c>
      <c r="D1373" s="0" t="str">
        <f aca="false">IF(C1373=1,E1373,IF(P1373=1,$E$2003+Q1373,""))</f>
        <v/>
      </c>
      <c r="E1373" s="0" t="n">
        <f aca="false">E1372+C1373</f>
        <v>0</v>
      </c>
      <c r="P1373" s="0" t="n">
        <f aca="false">IF(AND(Comments!B1371='Policy card'!$C$3,Comments!N1371="Closed"),1,0)</f>
        <v>0</v>
      </c>
      <c r="Q1373" s="0" t="n">
        <f aca="false">Q1372+P1373</f>
        <v>7</v>
      </c>
    </row>
    <row r="1374" customFormat="false" ht="15" hidden="false" customHeight="false" outlineLevel="0" collapsed="false">
      <c r="C1374" s="0" t="n">
        <f aca="false">IF(AND(Comments!B1372='Policy card'!$C$3,Comments!N1372="Open"),1,0)</f>
        <v>0</v>
      </c>
      <c r="D1374" s="0" t="str">
        <f aca="false">IF(C1374=1,E1374,IF(P1374=1,$E$2003+Q1374,""))</f>
        <v/>
      </c>
      <c r="E1374" s="0" t="n">
        <f aca="false">E1373+C1374</f>
        <v>0</v>
      </c>
      <c r="P1374" s="0" t="n">
        <f aca="false">IF(AND(Comments!B1372='Policy card'!$C$3,Comments!N1372="Closed"),1,0)</f>
        <v>0</v>
      </c>
      <c r="Q1374" s="0" t="n">
        <f aca="false">Q1373+P1374</f>
        <v>7</v>
      </c>
    </row>
    <row r="1375" customFormat="false" ht="15" hidden="false" customHeight="false" outlineLevel="0" collapsed="false">
      <c r="C1375" s="0" t="n">
        <f aca="false">IF(AND(Comments!B1373='Policy card'!$C$3,Comments!N1373="Open"),1,0)</f>
        <v>0</v>
      </c>
      <c r="D1375" s="0" t="str">
        <f aca="false">IF(C1375=1,E1375,IF(P1375=1,$E$2003+Q1375,""))</f>
        <v/>
      </c>
      <c r="E1375" s="0" t="n">
        <f aca="false">E1374+C1375</f>
        <v>0</v>
      </c>
      <c r="P1375" s="0" t="n">
        <f aca="false">IF(AND(Comments!B1373='Policy card'!$C$3,Comments!N1373="Closed"),1,0)</f>
        <v>0</v>
      </c>
      <c r="Q1375" s="0" t="n">
        <f aca="false">Q1374+P1375</f>
        <v>7</v>
      </c>
    </row>
    <row r="1376" customFormat="false" ht="15" hidden="false" customHeight="false" outlineLevel="0" collapsed="false">
      <c r="C1376" s="0" t="n">
        <f aca="false">IF(AND(Comments!B1374='Policy card'!$C$3,Comments!N1374="Open"),1,0)</f>
        <v>0</v>
      </c>
      <c r="D1376" s="0" t="str">
        <f aca="false">IF(C1376=1,E1376,IF(P1376=1,$E$2003+Q1376,""))</f>
        <v/>
      </c>
      <c r="E1376" s="0" t="n">
        <f aca="false">E1375+C1376</f>
        <v>0</v>
      </c>
      <c r="P1376" s="0" t="n">
        <f aca="false">IF(AND(Comments!B1374='Policy card'!$C$3,Comments!N1374="Closed"),1,0)</f>
        <v>0</v>
      </c>
      <c r="Q1376" s="0" t="n">
        <f aca="false">Q1375+P1376</f>
        <v>7</v>
      </c>
    </row>
    <row r="1377" customFormat="false" ht="15" hidden="false" customHeight="false" outlineLevel="0" collapsed="false">
      <c r="C1377" s="0" t="n">
        <f aca="false">IF(AND(Comments!B1375='Policy card'!$C$3,Comments!N1375="Open"),1,0)</f>
        <v>0</v>
      </c>
      <c r="D1377" s="0" t="str">
        <f aca="false">IF(C1377=1,E1377,IF(P1377=1,$E$2003+Q1377,""))</f>
        <v/>
      </c>
      <c r="E1377" s="0" t="n">
        <f aca="false">E1376+C1377</f>
        <v>0</v>
      </c>
      <c r="P1377" s="0" t="n">
        <f aca="false">IF(AND(Comments!B1375='Policy card'!$C$3,Comments!N1375="Closed"),1,0)</f>
        <v>0</v>
      </c>
      <c r="Q1377" s="0" t="n">
        <f aca="false">Q1376+P1377</f>
        <v>7</v>
      </c>
    </row>
    <row r="1378" customFormat="false" ht="15" hidden="false" customHeight="false" outlineLevel="0" collapsed="false">
      <c r="C1378" s="0" t="n">
        <f aca="false">IF(AND(Comments!B1376='Policy card'!$C$3,Comments!N1376="Open"),1,0)</f>
        <v>0</v>
      </c>
      <c r="D1378" s="0" t="str">
        <f aca="false">IF(C1378=1,E1378,IF(P1378=1,$E$2003+Q1378,""))</f>
        <v/>
      </c>
      <c r="E1378" s="0" t="n">
        <f aca="false">E1377+C1378</f>
        <v>0</v>
      </c>
      <c r="P1378" s="0" t="n">
        <f aca="false">IF(AND(Comments!B1376='Policy card'!$C$3,Comments!N1376="Closed"),1,0)</f>
        <v>0</v>
      </c>
      <c r="Q1378" s="0" t="n">
        <f aca="false">Q1377+P1378</f>
        <v>7</v>
      </c>
    </row>
    <row r="1379" customFormat="false" ht="15" hidden="false" customHeight="false" outlineLevel="0" collapsed="false">
      <c r="C1379" s="0" t="n">
        <f aca="false">IF(AND(Comments!B1377='Policy card'!$C$3,Comments!N1377="Open"),1,0)</f>
        <v>0</v>
      </c>
      <c r="D1379" s="0" t="str">
        <f aca="false">IF(C1379=1,E1379,IF(P1379=1,$E$2003+Q1379,""))</f>
        <v/>
      </c>
      <c r="E1379" s="0" t="n">
        <f aca="false">E1378+C1379</f>
        <v>0</v>
      </c>
      <c r="P1379" s="0" t="n">
        <f aca="false">IF(AND(Comments!B1377='Policy card'!$C$3,Comments!N1377="Closed"),1,0)</f>
        <v>0</v>
      </c>
      <c r="Q1379" s="0" t="n">
        <f aca="false">Q1378+P1379</f>
        <v>7</v>
      </c>
    </row>
    <row r="1380" customFormat="false" ht="15" hidden="false" customHeight="false" outlineLevel="0" collapsed="false">
      <c r="C1380" s="0" t="n">
        <f aca="false">IF(AND(Comments!B1378='Policy card'!$C$3,Comments!N1378="Open"),1,0)</f>
        <v>0</v>
      </c>
      <c r="D1380" s="0" t="str">
        <f aca="false">IF(C1380=1,E1380,IF(P1380=1,$E$2003+Q1380,""))</f>
        <v/>
      </c>
      <c r="E1380" s="0" t="n">
        <f aca="false">E1379+C1380</f>
        <v>0</v>
      </c>
      <c r="P1380" s="0" t="n">
        <f aca="false">IF(AND(Comments!B1378='Policy card'!$C$3,Comments!N1378="Closed"),1,0)</f>
        <v>0</v>
      </c>
      <c r="Q1380" s="0" t="n">
        <f aca="false">Q1379+P1380</f>
        <v>7</v>
      </c>
    </row>
    <row r="1381" customFormat="false" ht="15" hidden="false" customHeight="false" outlineLevel="0" collapsed="false">
      <c r="C1381" s="0" t="n">
        <f aca="false">IF(AND(Comments!B1379='Policy card'!$C$3,Comments!N1379="Open"),1,0)</f>
        <v>0</v>
      </c>
      <c r="D1381" s="0" t="str">
        <f aca="false">IF(C1381=1,E1381,IF(P1381=1,$E$2003+Q1381,""))</f>
        <v/>
      </c>
      <c r="E1381" s="0" t="n">
        <f aca="false">E1380+C1381</f>
        <v>0</v>
      </c>
      <c r="P1381" s="0" t="n">
        <f aca="false">IF(AND(Comments!B1379='Policy card'!$C$3,Comments!N1379="Closed"),1,0)</f>
        <v>0</v>
      </c>
      <c r="Q1381" s="0" t="n">
        <f aca="false">Q1380+P1381</f>
        <v>7</v>
      </c>
    </row>
    <row r="1382" customFormat="false" ht="15" hidden="false" customHeight="false" outlineLevel="0" collapsed="false">
      <c r="C1382" s="0" t="n">
        <f aca="false">IF(AND(Comments!B1380='Policy card'!$C$3,Comments!N1380="Open"),1,0)</f>
        <v>0</v>
      </c>
      <c r="D1382" s="0" t="str">
        <f aca="false">IF(C1382=1,E1382,IF(P1382=1,$E$2003+Q1382,""))</f>
        <v/>
      </c>
      <c r="E1382" s="0" t="n">
        <f aca="false">E1381+C1382</f>
        <v>0</v>
      </c>
      <c r="P1382" s="0" t="n">
        <f aca="false">IF(AND(Comments!B1380='Policy card'!$C$3,Comments!N1380="Closed"),1,0)</f>
        <v>0</v>
      </c>
      <c r="Q1382" s="0" t="n">
        <f aca="false">Q1381+P1382</f>
        <v>7</v>
      </c>
    </row>
    <row r="1383" customFormat="false" ht="15" hidden="false" customHeight="false" outlineLevel="0" collapsed="false">
      <c r="C1383" s="0" t="n">
        <f aca="false">IF(AND(Comments!B1381='Policy card'!$C$3,Comments!N1381="Open"),1,0)</f>
        <v>0</v>
      </c>
      <c r="D1383" s="0" t="str">
        <f aca="false">IF(C1383=1,E1383,IF(P1383=1,$E$2003+Q1383,""))</f>
        <v/>
      </c>
      <c r="E1383" s="0" t="n">
        <f aca="false">E1382+C1383</f>
        <v>0</v>
      </c>
      <c r="P1383" s="0" t="n">
        <f aca="false">IF(AND(Comments!B1381='Policy card'!$C$3,Comments!N1381="Closed"),1,0)</f>
        <v>0</v>
      </c>
      <c r="Q1383" s="0" t="n">
        <f aca="false">Q1382+P1383</f>
        <v>7</v>
      </c>
    </row>
    <row r="1384" customFormat="false" ht="15" hidden="false" customHeight="false" outlineLevel="0" collapsed="false">
      <c r="C1384" s="0" t="n">
        <f aca="false">IF(AND(Comments!B1382='Policy card'!$C$3,Comments!N1382="Open"),1,0)</f>
        <v>0</v>
      </c>
      <c r="D1384" s="0" t="str">
        <f aca="false">IF(C1384=1,E1384,IF(P1384=1,$E$2003+Q1384,""))</f>
        <v/>
      </c>
      <c r="E1384" s="0" t="n">
        <f aca="false">E1383+C1384</f>
        <v>0</v>
      </c>
      <c r="P1384" s="0" t="n">
        <f aca="false">IF(AND(Comments!B1382='Policy card'!$C$3,Comments!N1382="Closed"),1,0)</f>
        <v>0</v>
      </c>
      <c r="Q1384" s="0" t="n">
        <f aca="false">Q1383+P1384</f>
        <v>7</v>
      </c>
    </row>
    <row r="1385" customFormat="false" ht="15" hidden="false" customHeight="false" outlineLevel="0" collapsed="false">
      <c r="C1385" s="0" t="n">
        <f aca="false">IF(AND(Comments!B1383='Policy card'!$C$3,Comments!N1383="Open"),1,0)</f>
        <v>0</v>
      </c>
      <c r="D1385" s="0" t="str">
        <f aca="false">IF(C1385=1,E1385,IF(P1385=1,$E$2003+Q1385,""))</f>
        <v/>
      </c>
      <c r="E1385" s="0" t="n">
        <f aca="false">E1384+C1385</f>
        <v>0</v>
      </c>
      <c r="P1385" s="0" t="n">
        <f aca="false">IF(AND(Comments!B1383='Policy card'!$C$3,Comments!N1383="Closed"),1,0)</f>
        <v>0</v>
      </c>
      <c r="Q1385" s="0" t="n">
        <f aca="false">Q1384+P1385</f>
        <v>7</v>
      </c>
    </row>
    <row r="1386" customFormat="false" ht="15" hidden="false" customHeight="false" outlineLevel="0" collapsed="false">
      <c r="C1386" s="0" t="n">
        <f aca="false">IF(AND(Comments!B1384='Policy card'!$C$3,Comments!N1384="Open"),1,0)</f>
        <v>0</v>
      </c>
      <c r="D1386" s="0" t="str">
        <f aca="false">IF(C1386=1,E1386,IF(P1386=1,$E$2003+Q1386,""))</f>
        <v/>
      </c>
      <c r="E1386" s="0" t="n">
        <f aca="false">E1385+C1386</f>
        <v>0</v>
      </c>
      <c r="P1386" s="0" t="n">
        <f aca="false">IF(AND(Comments!B1384='Policy card'!$C$3,Comments!N1384="Closed"),1,0)</f>
        <v>0</v>
      </c>
      <c r="Q1386" s="0" t="n">
        <f aca="false">Q1385+P1386</f>
        <v>7</v>
      </c>
    </row>
    <row r="1387" customFormat="false" ht="15" hidden="false" customHeight="false" outlineLevel="0" collapsed="false">
      <c r="C1387" s="0" t="n">
        <f aca="false">IF(AND(Comments!B1385='Policy card'!$C$3,Comments!N1385="Open"),1,0)</f>
        <v>0</v>
      </c>
      <c r="D1387" s="0" t="str">
        <f aca="false">IF(C1387=1,E1387,IF(P1387=1,$E$2003+Q1387,""))</f>
        <v/>
      </c>
      <c r="E1387" s="0" t="n">
        <f aca="false">E1386+C1387</f>
        <v>0</v>
      </c>
      <c r="P1387" s="0" t="n">
        <f aca="false">IF(AND(Comments!B1385='Policy card'!$C$3,Comments!N1385="Closed"),1,0)</f>
        <v>0</v>
      </c>
      <c r="Q1387" s="0" t="n">
        <f aca="false">Q1386+P1387</f>
        <v>7</v>
      </c>
    </row>
    <row r="1388" customFormat="false" ht="15" hidden="false" customHeight="false" outlineLevel="0" collapsed="false">
      <c r="C1388" s="0" t="n">
        <f aca="false">IF(AND(Comments!B1386='Policy card'!$C$3,Comments!N1386="Open"),1,0)</f>
        <v>0</v>
      </c>
      <c r="D1388" s="0" t="str">
        <f aca="false">IF(C1388=1,E1388,IF(P1388=1,$E$2003+Q1388,""))</f>
        <v/>
      </c>
      <c r="E1388" s="0" t="n">
        <f aca="false">E1387+C1388</f>
        <v>0</v>
      </c>
      <c r="P1388" s="0" t="n">
        <f aca="false">IF(AND(Comments!B1386='Policy card'!$C$3,Comments!N1386="Closed"),1,0)</f>
        <v>0</v>
      </c>
      <c r="Q1388" s="0" t="n">
        <f aca="false">Q1387+P1388</f>
        <v>7</v>
      </c>
    </row>
    <row r="1389" customFormat="false" ht="15" hidden="false" customHeight="false" outlineLevel="0" collapsed="false">
      <c r="C1389" s="0" t="n">
        <f aca="false">IF(AND(Comments!B1387='Policy card'!$C$3,Comments!N1387="Open"),1,0)</f>
        <v>0</v>
      </c>
      <c r="D1389" s="0" t="str">
        <f aca="false">IF(C1389=1,E1389,IF(P1389=1,$E$2003+Q1389,""))</f>
        <v/>
      </c>
      <c r="E1389" s="0" t="n">
        <f aca="false">E1388+C1389</f>
        <v>0</v>
      </c>
      <c r="P1389" s="0" t="n">
        <f aca="false">IF(AND(Comments!B1387='Policy card'!$C$3,Comments!N1387="Closed"),1,0)</f>
        <v>0</v>
      </c>
      <c r="Q1389" s="0" t="n">
        <f aca="false">Q1388+P1389</f>
        <v>7</v>
      </c>
    </row>
    <row r="1390" customFormat="false" ht="15" hidden="false" customHeight="false" outlineLevel="0" collapsed="false">
      <c r="C1390" s="0" t="n">
        <f aca="false">IF(AND(Comments!B1388='Policy card'!$C$3,Comments!N1388="Open"),1,0)</f>
        <v>0</v>
      </c>
      <c r="D1390" s="0" t="str">
        <f aca="false">IF(C1390=1,E1390,IF(P1390=1,$E$2003+Q1390,""))</f>
        <v/>
      </c>
      <c r="E1390" s="0" t="n">
        <f aca="false">E1389+C1390</f>
        <v>0</v>
      </c>
      <c r="P1390" s="0" t="n">
        <f aca="false">IF(AND(Comments!B1388='Policy card'!$C$3,Comments!N1388="Closed"),1,0)</f>
        <v>0</v>
      </c>
      <c r="Q1390" s="0" t="n">
        <f aca="false">Q1389+P1390</f>
        <v>7</v>
      </c>
    </row>
    <row r="1391" customFormat="false" ht="15" hidden="false" customHeight="false" outlineLevel="0" collapsed="false">
      <c r="C1391" s="0" t="n">
        <f aca="false">IF(AND(Comments!B1389='Policy card'!$C$3,Comments!N1389="Open"),1,0)</f>
        <v>0</v>
      </c>
      <c r="D1391" s="0" t="str">
        <f aca="false">IF(C1391=1,E1391,IF(P1391=1,$E$2003+Q1391,""))</f>
        <v/>
      </c>
      <c r="E1391" s="0" t="n">
        <f aca="false">E1390+C1391</f>
        <v>0</v>
      </c>
      <c r="P1391" s="0" t="n">
        <f aca="false">IF(AND(Comments!B1389='Policy card'!$C$3,Comments!N1389="Closed"),1,0)</f>
        <v>0</v>
      </c>
      <c r="Q1391" s="0" t="n">
        <f aca="false">Q1390+P1391</f>
        <v>7</v>
      </c>
    </row>
    <row r="1392" customFormat="false" ht="15" hidden="false" customHeight="false" outlineLevel="0" collapsed="false">
      <c r="C1392" s="0" t="n">
        <f aca="false">IF(AND(Comments!B1390='Policy card'!$C$3,Comments!N1390="Open"),1,0)</f>
        <v>0</v>
      </c>
      <c r="D1392" s="0" t="str">
        <f aca="false">IF(C1392=1,E1392,IF(P1392=1,$E$2003+Q1392,""))</f>
        <v/>
      </c>
      <c r="E1392" s="0" t="n">
        <f aca="false">E1391+C1392</f>
        <v>0</v>
      </c>
      <c r="P1392" s="0" t="n">
        <f aca="false">IF(AND(Comments!B1390='Policy card'!$C$3,Comments!N1390="Closed"),1,0)</f>
        <v>0</v>
      </c>
      <c r="Q1392" s="0" t="n">
        <f aca="false">Q1391+P1392</f>
        <v>7</v>
      </c>
    </row>
    <row r="1393" customFormat="false" ht="15" hidden="false" customHeight="false" outlineLevel="0" collapsed="false">
      <c r="C1393" s="0" t="n">
        <f aca="false">IF(AND(Comments!B1391='Policy card'!$C$3,Comments!N1391="Open"),1,0)</f>
        <v>0</v>
      </c>
      <c r="D1393" s="0" t="str">
        <f aca="false">IF(C1393=1,E1393,IF(P1393=1,$E$2003+Q1393,""))</f>
        <v/>
      </c>
      <c r="E1393" s="0" t="n">
        <f aca="false">E1392+C1393</f>
        <v>0</v>
      </c>
      <c r="P1393" s="0" t="n">
        <f aca="false">IF(AND(Comments!B1391='Policy card'!$C$3,Comments!N1391="Closed"),1,0)</f>
        <v>0</v>
      </c>
      <c r="Q1393" s="0" t="n">
        <f aca="false">Q1392+P1393</f>
        <v>7</v>
      </c>
    </row>
    <row r="1394" customFormat="false" ht="15" hidden="false" customHeight="false" outlineLevel="0" collapsed="false">
      <c r="C1394" s="0" t="n">
        <f aca="false">IF(AND(Comments!B1392='Policy card'!$C$3,Comments!N1392="Open"),1,0)</f>
        <v>0</v>
      </c>
      <c r="D1394" s="0" t="str">
        <f aca="false">IF(C1394=1,E1394,IF(P1394=1,$E$2003+Q1394,""))</f>
        <v/>
      </c>
      <c r="E1394" s="0" t="n">
        <f aca="false">E1393+C1394</f>
        <v>0</v>
      </c>
      <c r="P1394" s="0" t="n">
        <f aca="false">IF(AND(Comments!B1392='Policy card'!$C$3,Comments!N1392="Closed"),1,0)</f>
        <v>0</v>
      </c>
      <c r="Q1394" s="0" t="n">
        <f aca="false">Q1393+P1394</f>
        <v>7</v>
      </c>
    </row>
    <row r="1395" customFormat="false" ht="15" hidden="false" customHeight="false" outlineLevel="0" collapsed="false">
      <c r="C1395" s="0" t="n">
        <f aca="false">IF(AND(Comments!B1393='Policy card'!$C$3,Comments!N1393="Open"),1,0)</f>
        <v>0</v>
      </c>
      <c r="D1395" s="0" t="str">
        <f aca="false">IF(C1395=1,E1395,IF(P1395=1,$E$2003+Q1395,""))</f>
        <v/>
      </c>
      <c r="E1395" s="0" t="n">
        <f aca="false">E1394+C1395</f>
        <v>0</v>
      </c>
      <c r="P1395" s="0" t="n">
        <f aca="false">IF(AND(Comments!B1393='Policy card'!$C$3,Comments!N1393="Closed"),1,0)</f>
        <v>0</v>
      </c>
      <c r="Q1395" s="0" t="n">
        <f aca="false">Q1394+P1395</f>
        <v>7</v>
      </c>
    </row>
    <row r="1396" customFormat="false" ht="15" hidden="false" customHeight="false" outlineLevel="0" collapsed="false">
      <c r="C1396" s="0" t="n">
        <f aca="false">IF(AND(Comments!B1394='Policy card'!$C$3,Comments!N1394="Open"),1,0)</f>
        <v>0</v>
      </c>
      <c r="D1396" s="0" t="str">
        <f aca="false">IF(C1396=1,E1396,IF(P1396=1,$E$2003+Q1396,""))</f>
        <v/>
      </c>
      <c r="E1396" s="0" t="n">
        <f aca="false">E1395+C1396</f>
        <v>0</v>
      </c>
      <c r="P1396" s="0" t="n">
        <f aca="false">IF(AND(Comments!B1394='Policy card'!$C$3,Comments!N1394="Closed"),1,0)</f>
        <v>0</v>
      </c>
      <c r="Q1396" s="0" t="n">
        <f aca="false">Q1395+P1396</f>
        <v>7</v>
      </c>
    </row>
    <row r="1397" customFormat="false" ht="15" hidden="false" customHeight="false" outlineLevel="0" collapsed="false">
      <c r="C1397" s="0" t="n">
        <f aca="false">IF(AND(Comments!B1395='Policy card'!$C$3,Comments!N1395="Open"),1,0)</f>
        <v>0</v>
      </c>
      <c r="D1397" s="0" t="str">
        <f aca="false">IF(C1397=1,E1397,IF(P1397=1,$E$2003+Q1397,""))</f>
        <v/>
      </c>
      <c r="E1397" s="0" t="n">
        <f aca="false">E1396+C1397</f>
        <v>0</v>
      </c>
      <c r="P1397" s="0" t="n">
        <f aca="false">IF(AND(Comments!B1395='Policy card'!$C$3,Comments!N1395="Closed"),1,0)</f>
        <v>0</v>
      </c>
      <c r="Q1397" s="0" t="n">
        <f aca="false">Q1396+P1397</f>
        <v>7</v>
      </c>
    </row>
    <row r="1398" customFormat="false" ht="15" hidden="false" customHeight="false" outlineLevel="0" collapsed="false">
      <c r="C1398" s="0" t="n">
        <f aca="false">IF(AND(Comments!B1396='Policy card'!$C$3,Comments!N1396="Open"),1,0)</f>
        <v>0</v>
      </c>
      <c r="D1398" s="0" t="str">
        <f aca="false">IF(C1398=1,E1398,IF(P1398=1,$E$2003+Q1398,""))</f>
        <v/>
      </c>
      <c r="E1398" s="0" t="n">
        <f aca="false">E1397+C1398</f>
        <v>0</v>
      </c>
      <c r="P1398" s="0" t="n">
        <f aca="false">IF(AND(Comments!B1396='Policy card'!$C$3,Comments!N1396="Closed"),1,0)</f>
        <v>0</v>
      </c>
      <c r="Q1398" s="0" t="n">
        <f aca="false">Q1397+P1398</f>
        <v>7</v>
      </c>
    </row>
    <row r="1399" customFormat="false" ht="15" hidden="false" customHeight="false" outlineLevel="0" collapsed="false">
      <c r="C1399" s="0" t="n">
        <f aca="false">IF(AND(Comments!B1397='Policy card'!$C$3,Comments!N1397="Open"),1,0)</f>
        <v>0</v>
      </c>
      <c r="D1399" s="0" t="str">
        <f aca="false">IF(C1399=1,E1399,IF(P1399=1,$E$2003+Q1399,""))</f>
        <v/>
      </c>
      <c r="E1399" s="0" t="n">
        <f aca="false">E1398+C1399</f>
        <v>0</v>
      </c>
      <c r="P1399" s="0" t="n">
        <f aca="false">IF(AND(Comments!B1397='Policy card'!$C$3,Comments!N1397="Closed"),1,0)</f>
        <v>0</v>
      </c>
      <c r="Q1399" s="0" t="n">
        <f aca="false">Q1398+P1399</f>
        <v>7</v>
      </c>
    </row>
    <row r="1400" customFormat="false" ht="15" hidden="false" customHeight="false" outlineLevel="0" collapsed="false">
      <c r="C1400" s="0" t="n">
        <f aca="false">IF(AND(Comments!B1398='Policy card'!$C$3,Comments!N1398="Open"),1,0)</f>
        <v>0</v>
      </c>
      <c r="D1400" s="0" t="str">
        <f aca="false">IF(C1400=1,E1400,IF(P1400=1,$E$2003+Q1400,""))</f>
        <v/>
      </c>
      <c r="E1400" s="0" t="n">
        <f aca="false">E1399+C1400</f>
        <v>0</v>
      </c>
      <c r="P1400" s="0" t="n">
        <f aca="false">IF(AND(Comments!B1398='Policy card'!$C$3,Comments!N1398="Closed"),1,0)</f>
        <v>0</v>
      </c>
      <c r="Q1400" s="0" t="n">
        <f aca="false">Q1399+P1400</f>
        <v>7</v>
      </c>
    </row>
    <row r="1401" customFormat="false" ht="15" hidden="false" customHeight="false" outlineLevel="0" collapsed="false">
      <c r="C1401" s="0" t="n">
        <f aca="false">IF(AND(Comments!B1399='Policy card'!$C$3,Comments!N1399="Open"),1,0)</f>
        <v>0</v>
      </c>
      <c r="D1401" s="0" t="str">
        <f aca="false">IF(C1401=1,E1401,IF(P1401=1,$E$2003+Q1401,""))</f>
        <v/>
      </c>
      <c r="E1401" s="0" t="n">
        <f aca="false">E1400+C1401</f>
        <v>0</v>
      </c>
      <c r="P1401" s="0" t="n">
        <f aca="false">IF(AND(Comments!B1399='Policy card'!$C$3,Comments!N1399="Closed"),1,0)</f>
        <v>0</v>
      </c>
      <c r="Q1401" s="0" t="n">
        <f aca="false">Q1400+P1401</f>
        <v>7</v>
      </c>
    </row>
    <row r="1402" customFormat="false" ht="15" hidden="false" customHeight="false" outlineLevel="0" collapsed="false">
      <c r="C1402" s="0" t="n">
        <f aca="false">IF(AND(Comments!B1400='Policy card'!$C$3,Comments!N1400="Open"),1,0)</f>
        <v>0</v>
      </c>
      <c r="D1402" s="0" t="str">
        <f aca="false">IF(C1402=1,E1402,IF(P1402=1,$E$2003+Q1402,""))</f>
        <v/>
      </c>
      <c r="E1402" s="0" t="n">
        <f aca="false">E1401+C1402</f>
        <v>0</v>
      </c>
      <c r="P1402" s="0" t="n">
        <f aca="false">IF(AND(Comments!B1400='Policy card'!$C$3,Comments!N1400="Closed"),1,0)</f>
        <v>0</v>
      </c>
      <c r="Q1402" s="0" t="n">
        <f aca="false">Q1401+P1402</f>
        <v>7</v>
      </c>
    </row>
    <row r="1403" customFormat="false" ht="15" hidden="false" customHeight="false" outlineLevel="0" collapsed="false">
      <c r="C1403" s="0" t="n">
        <f aca="false">IF(AND(Comments!B1401='Policy card'!$C$3,Comments!N1401="Open"),1,0)</f>
        <v>0</v>
      </c>
      <c r="D1403" s="0" t="str">
        <f aca="false">IF(C1403=1,E1403,IF(P1403=1,$E$2003+Q1403,""))</f>
        <v/>
      </c>
      <c r="E1403" s="0" t="n">
        <f aca="false">E1402+C1403</f>
        <v>0</v>
      </c>
      <c r="P1403" s="0" t="n">
        <f aca="false">IF(AND(Comments!B1401='Policy card'!$C$3,Comments!N1401="Closed"),1,0)</f>
        <v>0</v>
      </c>
      <c r="Q1403" s="0" t="n">
        <f aca="false">Q1402+P1403</f>
        <v>7</v>
      </c>
    </row>
    <row r="1404" customFormat="false" ht="15" hidden="false" customHeight="false" outlineLevel="0" collapsed="false">
      <c r="C1404" s="0" t="n">
        <f aca="false">IF(AND(Comments!B1402='Policy card'!$C$3,Comments!N1402="Open"),1,0)</f>
        <v>0</v>
      </c>
      <c r="D1404" s="0" t="str">
        <f aca="false">IF(C1404=1,E1404,IF(P1404=1,$E$2003+Q1404,""))</f>
        <v/>
      </c>
      <c r="E1404" s="0" t="n">
        <f aca="false">E1403+C1404</f>
        <v>0</v>
      </c>
      <c r="P1404" s="0" t="n">
        <f aca="false">IF(AND(Comments!B1402='Policy card'!$C$3,Comments!N1402="Closed"),1,0)</f>
        <v>0</v>
      </c>
      <c r="Q1404" s="0" t="n">
        <f aca="false">Q1403+P1404</f>
        <v>7</v>
      </c>
    </row>
    <row r="1405" customFormat="false" ht="15" hidden="false" customHeight="false" outlineLevel="0" collapsed="false">
      <c r="C1405" s="0" t="n">
        <f aca="false">IF(AND(Comments!B1403='Policy card'!$C$3,Comments!N1403="Open"),1,0)</f>
        <v>0</v>
      </c>
      <c r="D1405" s="0" t="str">
        <f aca="false">IF(C1405=1,E1405,IF(P1405=1,$E$2003+Q1405,""))</f>
        <v/>
      </c>
      <c r="E1405" s="0" t="n">
        <f aca="false">E1404+C1405</f>
        <v>0</v>
      </c>
      <c r="P1405" s="0" t="n">
        <f aca="false">IF(AND(Comments!B1403='Policy card'!$C$3,Comments!N1403="Closed"),1,0)</f>
        <v>0</v>
      </c>
      <c r="Q1405" s="0" t="n">
        <f aca="false">Q1404+P1405</f>
        <v>7</v>
      </c>
    </row>
    <row r="1406" customFormat="false" ht="15" hidden="false" customHeight="false" outlineLevel="0" collapsed="false">
      <c r="C1406" s="0" t="n">
        <f aca="false">IF(AND(Comments!B1404='Policy card'!$C$3,Comments!N1404="Open"),1,0)</f>
        <v>0</v>
      </c>
      <c r="D1406" s="0" t="str">
        <f aca="false">IF(C1406=1,E1406,IF(P1406=1,$E$2003+Q1406,""))</f>
        <v/>
      </c>
      <c r="E1406" s="0" t="n">
        <f aca="false">E1405+C1406</f>
        <v>0</v>
      </c>
      <c r="P1406" s="0" t="n">
        <f aca="false">IF(AND(Comments!B1404='Policy card'!$C$3,Comments!N1404="Closed"),1,0)</f>
        <v>0</v>
      </c>
      <c r="Q1406" s="0" t="n">
        <f aca="false">Q1405+P1406</f>
        <v>7</v>
      </c>
    </row>
    <row r="1407" customFormat="false" ht="15" hidden="false" customHeight="false" outlineLevel="0" collapsed="false">
      <c r="C1407" s="0" t="n">
        <f aca="false">IF(AND(Comments!B1405='Policy card'!$C$3,Comments!N1405="Open"),1,0)</f>
        <v>0</v>
      </c>
      <c r="D1407" s="0" t="str">
        <f aca="false">IF(C1407=1,E1407,IF(P1407=1,$E$2003+Q1407,""))</f>
        <v/>
      </c>
      <c r="E1407" s="0" t="n">
        <f aca="false">E1406+C1407</f>
        <v>0</v>
      </c>
      <c r="P1407" s="0" t="n">
        <f aca="false">IF(AND(Comments!B1405='Policy card'!$C$3,Comments!N1405="Closed"),1,0)</f>
        <v>0</v>
      </c>
      <c r="Q1407" s="0" t="n">
        <f aca="false">Q1406+P1407</f>
        <v>7</v>
      </c>
    </row>
    <row r="1408" customFormat="false" ht="15" hidden="false" customHeight="false" outlineLevel="0" collapsed="false">
      <c r="C1408" s="0" t="n">
        <f aca="false">IF(AND(Comments!B1406='Policy card'!$C$3,Comments!N1406="Open"),1,0)</f>
        <v>0</v>
      </c>
      <c r="D1408" s="0" t="str">
        <f aca="false">IF(C1408=1,E1408,IF(P1408=1,$E$2003+Q1408,""))</f>
        <v/>
      </c>
      <c r="E1408" s="0" t="n">
        <f aca="false">E1407+C1408</f>
        <v>0</v>
      </c>
      <c r="P1408" s="0" t="n">
        <f aca="false">IF(AND(Comments!B1406='Policy card'!$C$3,Comments!N1406="Closed"),1,0)</f>
        <v>0</v>
      </c>
      <c r="Q1408" s="0" t="n">
        <f aca="false">Q1407+P1408</f>
        <v>7</v>
      </c>
    </row>
    <row r="1409" customFormat="false" ht="15" hidden="false" customHeight="false" outlineLevel="0" collapsed="false">
      <c r="C1409" s="0" t="n">
        <f aca="false">IF(AND(Comments!B1407='Policy card'!$C$3,Comments!N1407="Open"),1,0)</f>
        <v>0</v>
      </c>
      <c r="D1409" s="0" t="str">
        <f aca="false">IF(C1409=1,E1409,IF(P1409=1,$E$2003+Q1409,""))</f>
        <v/>
      </c>
      <c r="E1409" s="0" t="n">
        <f aca="false">E1408+C1409</f>
        <v>0</v>
      </c>
      <c r="P1409" s="0" t="n">
        <f aca="false">IF(AND(Comments!B1407='Policy card'!$C$3,Comments!N1407="Closed"),1,0)</f>
        <v>0</v>
      </c>
      <c r="Q1409" s="0" t="n">
        <f aca="false">Q1408+P1409</f>
        <v>7</v>
      </c>
    </row>
    <row r="1410" customFormat="false" ht="15" hidden="false" customHeight="false" outlineLevel="0" collapsed="false">
      <c r="C1410" s="0" t="n">
        <f aca="false">IF(AND(Comments!B1408='Policy card'!$C$3,Comments!N1408="Open"),1,0)</f>
        <v>0</v>
      </c>
      <c r="D1410" s="0" t="str">
        <f aca="false">IF(C1410=1,E1410,IF(P1410=1,$E$2003+Q1410,""))</f>
        <v/>
      </c>
      <c r="E1410" s="0" t="n">
        <f aca="false">E1409+C1410</f>
        <v>0</v>
      </c>
      <c r="P1410" s="0" t="n">
        <f aca="false">IF(AND(Comments!B1408='Policy card'!$C$3,Comments!N1408="Closed"),1,0)</f>
        <v>0</v>
      </c>
      <c r="Q1410" s="0" t="n">
        <f aca="false">Q1409+P1410</f>
        <v>7</v>
      </c>
    </row>
    <row r="1411" customFormat="false" ht="15" hidden="false" customHeight="false" outlineLevel="0" collapsed="false">
      <c r="C1411" s="0" t="n">
        <f aca="false">IF(AND(Comments!B1409='Policy card'!$C$3,Comments!N1409="Open"),1,0)</f>
        <v>0</v>
      </c>
      <c r="D1411" s="0" t="str">
        <f aca="false">IF(C1411=1,E1411,IF(P1411=1,$E$2003+Q1411,""))</f>
        <v/>
      </c>
      <c r="E1411" s="0" t="n">
        <f aca="false">E1410+C1411</f>
        <v>0</v>
      </c>
      <c r="P1411" s="0" t="n">
        <f aca="false">IF(AND(Comments!B1409='Policy card'!$C$3,Comments!N1409="Closed"),1,0)</f>
        <v>0</v>
      </c>
      <c r="Q1411" s="0" t="n">
        <f aca="false">Q1410+P1411</f>
        <v>7</v>
      </c>
    </row>
    <row r="1412" customFormat="false" ht="15" hidden="false" customHeight="false" outlineLevel="0" collapsed="false">
      <c r="C1412" s="0" t="n">
        <f aca="false">IF(AND(Comments!B1410='Policy card'!$C$3,Comments!N1410="Open"),1,0)</f>
        <v>0</v>
      </c>
      <c r="D1412" s="0" t="str">
        <f aca="false">IF(C1412=1,E1412,IF(P1412=1,$E$2003+Q1412,""))</f>
        <v/>
      </c>
      <c r="E1412" s="0" t="n">
        <f aca="false">E1411+C1412</f>
        <v>0</v>
      </c>
      <c r="P1412" s="0" t="n">
        <f aca="false">IF(AND(Comments!B1410='Policy card'!$C$3,Comments!N1410="Closed"),1,0)</f>
        <v>0</v>
      </c>
      <c r="Q1412" s="0" t="n">
        <f aca="false">Q1411+P1412</f>
        <v>7</v>
      </c>
    </row>
    <row r="1413" customFormat="false" ht="15" hidden="false" customHeight="false" outlineLevel="0" collapsed="false">
      <c r="C1413" s="0" t="n">
        <f aca="false">IF(AND(Comments!B1411='Policy card'!$C$3,Comments!N1411="Open"),1,0)</f>
        <v>0</v>
      </c>
      <c r="D1413" s="0" t="str">
        <f aca="false">IF(C1413=1,E1413,IF(P1413=1,$E$2003+Q1413,""))</f>
        <v/>
      </c>
      <c r="E1413" s="0" t="n">
        <f aca="false">E1412+C1413</f>
        <v>0</v>
      </c>
      <c r="P1413" s="0" t="n">
        <f aca="false">IF(AND(Comments!B1411='Policy card'!$C$3,Comments!N1411="Closed"),1,0)</f>
        <v>0</v>
      </c>
      <c r="Q1413" s="0" t="n">
        <f aca="false">Q1412+P1413</f>
        <v>7</v>
      </c>
    </row>
    <row r="1414" customFormat="false" ht="15" hidden="false" customHeight="false" outlineLevel="0" collapsed="false">
      <c r="C1414" s="0" t="n">
        <f aca="false">IF(AND(Comments!B1412='Policy card'!$C$3,Comments!N1412="Open"),1,0)</f>
        <v>0</v>
      </c>
      <c r="D1414" s="0" t="str">
        <f aca="false">IF(C1414=1,E1414,IF(P1414=1,$E$2003+Q1414,""))</f>
        <v/>
      </c>
      <c r="E1414" s="0" t="n">
        <f aca="false">E1413+C1414</f>
        <v>0</v>
      </c>
      <c r="P1414" s="0" t="n">
        <f aca="false">IF(AND(Comments!B1412='Policy card'!$C$3,Comments!N1412="Closed"),1,0)</f>
        <v>0</v>
      </c>
      <c r="Q1414" s="0" t="n">
        <f aca="false">Q1413+P1414</f>
        <v>7</v>
      </c>
    </row>
    <row r="1415" customFormat="false" ht="15" hidden="false" customHeight="false" outlineLevel="0" collapsed="false">
      <c r="C1415" s="0" t="n">
        <f aca="false">IF(AND(Comments!B1413='Policy card'!$C$3,Comments!N1413="Open"),1,0)</f>
        <v>0</v>
      </c>
      <c r="D1415" s="0" t="str">
        <f aca="false">IF(C1415=1,E1415,IF(P1415=1,$E$2003+Q1415,""))</f>
        <v/>
      </c>
      <c r="E1415" s="0" t="n">
        <f aca="false">E1414+C1415</f>
        <v>0</v>
      </c>
      <c r="P1415" s="0" t="n">
        <f aca="false">IF(AND(Comments!B1413='Policy card'!$C$3,Comments!N1413="Closed"),1,0)</f>
        <v>0</v>
      </c>
      <c r="Q1415" s="0" t="n">
        <f aca="false">Q1414+P1415</f>
        <v>7</v>
      </c>
    </row>
    <row r="1416" customFormat="false" ht="15" hidden="false" customHeight="false" outlineLevel="0" collapsed="false">
      <c r="C1416" s="0" t="n">
        <f aca="false">IF(AND(Comments!B1414='Policy card'!$C$3,Comments!N1414="Open"),1,0)</f>
        <v>0</v>
      </c>
      <c r="D1416" s="0" t="str">
        <f aca="false">IF(C1416=1,E1416,IF(P1416=1,$E$2003+Q1416,""))</f>
        <v/>
      </c>
      <c r="E1416" s="0" t="n">
        <f aca="false">E1415+C1416</f>
        <v>0</v>
      </c>
      <c r="P1416" s="0" t="n">
        <f aca="false">IF(AND(Comments!B1414='Policy card'!$C$3,Comments!N1414="Closed"),1,0)</f>
        <v>0</v>
      </c>
      <c r="Q1416" s="0" t="n">
        <f aca="false">Q1415+P1416</f>
        <v>7</v>
      </c>
    </row>
    <row r="1417" customFormat="false" ht="15" hidden="false" customHeight="false" outlineLevel="0" collapsed="false">
      <c r="C1417" s="0" t="n">
        <f aca="false">IF(AND(Comments!B1415='Policy card'!$C$3,Comments!N1415="Open"),1,0)</f>
        <v>0</v>
      </c>
      <c r="D1417" s="0" t="str">
        <f aca="false">IF(C1417=1,E1417,IF(P1417=1,$E$2003+Q1417,""))</f>
        <v/>
      </c>
      <c r="E1417" s="0" t="n">
        <f aca="false">E1416+C1417</f>
        <v>0</v>
      </c>
      <c r="P1417" s="0" t="n">
        <f aca="false">IF(AND(Comments!B1415='Policy card'!$C$3,Comments!N1415="Closed"),1,0)</f>
        <v>0</v>
      </c>
      <c r="Q1417" s="0" t="n">
        <f aca="false">Q1416+P1417</f>
        <v>7</v>
      </c>
    </row>
    <row r="1418" customFormat="false" ht="15" hidden="false" customHeight="false" outlineLevel="0" collapsed="false">
      <c r="C1418" s="0" t="n">
        <f aca="false">IF(AND(Comments!B1416='Policy card'!$C$3,Comments!N1416="Open"),1,0)</f>
        <v>0</v>
      </c>
      <c r="D1418" s="0" t="str">
        <f aca="false">IF(C1418=1,E1418,IF(P1418=1,$E$2003+Q1418,""))</f>
        <v/>
      </c>
      <c r="E1418" s="0" t="n">
        <f aca="false">E1417+C1418</f>
        <v>0</v>
      </c>
      <c r="P1418" s="0" t="n">
        <f aca="false">IF(AND(Comments!B1416='Policy card'!$C$3,Comments!N1416="Closed"),1,0)</f>
        <v>0</v>
      </c>
      <c r="Q1418" s="0" t="n">
        <f aca="false">Q1417+P1418</f>
        <v>7</v>
      </c>
    </row>
    <row r="1419" customFormat="false" ht="15" hidden="false" customHeight="false" outlineLevel="0" collapsed="false">
      <c r="C1419" s="0" t="n">
        <f aca="false">IF(AND(Comments!B1417='Policy card'!$C$3,Comments!N1417="Open"),1,0)</f>
        <v>0</v>
      </c>
      <c r="D1419" s="0" t="str">
        <f aca="false">IF(C1419=1,E1419,IF(P1419=1,$E$2003+Q1419,""))</f>
        <v/>
      </c>
      <c r="E1419" s="0" t="n">
        <f aca="false">E1418+C1419</f>
        <v>0</v>
      </c>
      <c r="P1419" s="0" t="n">
        <f aca="false">IF(AND(Comments!B1417='Policy card'!$C$3,Comments!N1417="Closed"),1,0)</f>
        <v>0</v>
      </c>
      <c r="Q1419" s="0" t="n">
        <f aca="false">Q1418+P1419</f>
        <v>7</v>
      </c>
    </row>
    <row r="1420" customFormat="false" ht="15" hidden="false" customHeight="false" outlineLevel="0" collapsed="false">
      <c r="C1420" s="0" t="n">
        <f aca="false">IF(AND(Comments!B1418='Policy card'!$C$3,Comments!N1418="Open"),1,0)</f>
        <v>0</v>
      </c>
      <c r="D1420" s="0" t="str">
        <f aca="false">IF(C1420=1,E1420,IF(P1420=1,$E$2003+Q1420,""))</f>
        <v/>
      </c>
      <c r="E1420" s="0" t="n">
        <f aca="false">E1419+C1420</f>
        <v>0</v>
      </c>
      <c r="P1420" s="0" t="n">
        <f aca="false">IF(AND(Comments!B1418='Policy card'!$C$3,Comments!N1418="Closed"),1,0)</f>
        <v>0</v>
      </c>
      <c r="Q1420" s="0" t="n">
        <f aca="false">Q1419+P1420</f>
        <v>7</v>
      </c>
    </row>
    <row r="1421" customFormat="false" ht="15" hidden="false" customHeight="false" outlineLevel="0" collapsed="false">
      <c r="C1421" s="0" t="n">
        <f aca="false">IF(AND(Comments!B1419='Policy card'!$C$3,Comments!N1419="Open"),1,0)</f>
        <v>0</v>
      </c>
      <c r="D1421" s="0" t="str">
        <f aca="false">IF(C1421=1,E1421,IF(P1421=1,$E$2003+Q1421,""))</f>
        <v/>
      </c>
      <c r="E1421" s="0" t="n">
        <f aca="false">E1420+C1421</f>
        <v>0</v>
      </c>
      <c r="P1421" s="0" t="n">
        <f aca="false">IF(AND(Comments!B1419='Policy card'!$C$3,Comments!N1419="Closed"),1,0)</f>
        <v>0</v>
      </c>
      <c r="Q1421" s="0" t="n">
        <f aca="false">Q1420+P1421</f>
        <v>7</v>
      </c>
    </row>
    <row r="1422" customFormat="false" ht="15" hidden="false" customHeight="false" outlineLevel="0" collapsed="false">
      <c r="C1422" s="0" t="n">
        <f aca="false">IF(AND(Comments!B1420='Policy card'!$C$3,Comments!N1420="Open"),1,0)</f>
        <v>0</v>
      </c>
      <c r="D1422" s="0" t="str">
        <f aca="false">IF(C1422=1,E1422,IF(P1422=1,$E$2003+Q1422,""))</f>
        <v/>
      </c>
      <c r="E1422" s="0" t="n">
        <f aca="false">E1421+C1422</f>
        <v>0</v>
      </c>
      <c r="P1422" s="0" t="n">
        <f aca="false">IF(AND(Comments!B1420='Policy card'!$C$3,Comments!N1420="Closed"),1,0)</f>
        <v>0</v>
      </c>
      <c r="Q1422" s="0" t="n">
        <f aca="false">Q1421+P1422</f>
        <v>7</v>
      </c>
    </row>
    <row r="1423" customFormat="false" ht="15" hidden="false" customHeight="false" outlineLevel="0" collapsed="false">
      <c r="C1423" s="0" t="n">
        <f aca="false">IF(AND(Comments!B1421='Policy card'!$C$3,Comments!N1421="Open"),1,0)</f>
        <v>0</v>
      </c>
      <c r="D1423" s="0" t="str">
        <f aca="false">IF(C1423=1,E1423,IF(P1423=1,$E$2003+Q1423,""))</f>
        <v/>
      </c>
      <c r="E1423" s="0" t="n">
        <f aca="false">E1422+C1423</f>
        <v>0</v>
      </c>
      <c r="P1423" s="0" t="n">
        <f aca="false">IF(AND(Comments!B1421='Policy card'!$C$3,Comments!N1421="Closed"),1,0)</f>
        <v>0</v>
      </c>
      <c r="Q1423" s="0" t="n">
        <f aca="false">Q1422+P1423</f>
        <v>7</v>
      </c>
    </row>
    <row r="1424" customFormat="false" ht="15" hidden="false" customHeight="false" outlineLevel="0" collapsed="false">
      <c r="C1424" s="0" t="n">
        <f aca="false">IF(AND(Comments!B1422='Policy card'!$C$3,Comments!N1422="Open"),1,0)</f>
        <v>0</v>
      </c>
      <c r="D1424" s="0" t="str">
        <f aca="false">IF(C1424=1,E1424,IF(P1424=1,$E$2003+Q1424,""))</f>
        <v/>
      </c>
      <c r="E1424" s="0" t="n">
        <f aca="false">E1423+C1424</f>
        <v>0</v>
      </c>
      <c r="P1424" s="0" t="n">
        <f aca="false">IF(AND(Comments!B1422='Policy card'!$C$3,Comments!N1422="Closed"),1,0)</f>
        <v>0</v>
      </c>
      <c r="Q1424" s="0" t="n">
        <f aca="false">Q1423+P1424</f>
        <v>7</v>
      </c>
    </row>
    <row r="1425" customFormat="false" ht="15" hidden="false" customHeight="false" outlineLevel="0" collapsed="false">
      <c r="C1425" s="0" t="n">
        <f aca="false">IF(AND(Comments!B1423='Policy card'!$C$3,Comments!N1423="Open"),1,0)</f>
        <v>0</v>
      </c>
      <c r="D1425" s="0" t="str">
        <f aca="false">IF(C1425=1,E1425,IF(P1425=1,$E$2003+Q1425,""))</f>
        <v/>
      </c>
      <c r="E1425" s="0" t="n">
        <f aca="false">E1424+C1425</f>
        <v>0</v>
      </c>
      <c r="P1425" s="0" t="n">
        <f aca="false">IF(AND(Comments!B1423='Policy card'!$C$3,Comments!N1423="Closed"),1,0)</f>
        <v>0</v>
      </c>
      <c r="Q1425" s="0" t="n">
        <f aca="false">Q1424+P1425</f>
        <v>7</v>
      </c>
    </row>
    <row r="1426" customFormat="false" ht="15" hidden="false" customHeight="false" outlineLevel="0" collapsed="false">
      <c r="C1426" s="0" t="n">
        <f aca="false">IF(AND(Comments!B1424='Policy card'!$C$3,Comments!N1424="Open"),1,0)</f>
        <v>0</v>
      </c>
      <c r="D1426" s="0" t="str">
        <f aca="false">IF(C1426=1,E1426,IF(P1426=1,$E$2003+Q1426,""))</f>
        <v/>
      </c>
      <c r="E1426" s="0" t="n">
        <f aca="false">E1425+C1426</f>
        <v>0</v>
      </c>
      <c r="P1426" s="0" t="n">
        <f aca="false">IF(AND(Comments!B1424='Policy card'!$C$3,Comments!N1424="Closed"),1,0)</f>
        <v>0</v>
      </c>
      <c r="Q1426" s="0" t="n">
        <f aca="false">Q1425+P1426</f>
        <v>7</v>
      </c>
    </row>
    <row r="1427" customFormat="false" ht="15" hidden="false" customHeight="false" outlineLevel="0" collapsed="false">
      <c r="C1427" s="0" t="n">
        <f aca="false">IF(AND(Comments!B1425='Policy card'!$C$3,Comments!N1425="Open"),1,0)</f>
        <v>0</v>
      </c>
      <c r="D1427" s="0" t="str">
        <f aca="false">IF(C1427=1,E1427,IF(P1427=1,$E$2003+Q1427,""))</f>
        <v/>
      </c>
      <c r="E1427" s="0" t="n">
        <f aca="false">E1426+C1427</f>
        <v>0</v>
      </c>
      <c r="P1427" s="0" t="n">
        <f aca="false">IF(AND(Comments!B1425='Policy card'!$C$3,Comments!N1425="Closed"),1,0)</f>
        <v>0</v>
      </c>
      <c r="Q1427" s="0" t="n">
        <f aca="false">Q1426+P1427</f>
        <v>7</v>
      </c>
    </row>
    <row r="1428" customFormat="false" ht="15" hidden="false" customHeight="false" outlineLevel="0" collapsed="false">
      <c r="C1428" s="0" t="n">
        <f aca="false">IF(AND(Comments!B1426='Policy card'!$C$3,Comments!N1426="Open"),1,0)</f>
        <v>0</v>
      </c>
      <c r="D1428" s="0" t="str">
        <f aca="false">IF(C1428=1,E1428,IF(P1428=1,$E$2003+Q1428,""))</f>
        <v/>
      </c>
      <c r="E1428" s="0" t="n">
        <f aca="false">E1427+C1428</f>
        <v>0</v>
      </c>
      <c r="P1428" s="0" t="n">
        <f aca="false">IF(AND(Comments!B1426='Policy card'!$C$3,Comments!N1426="Closed"),1,0)</f>
        <v>0</v>
      </c>
      <c r="Q1428" s="0" t="n">
        <f aca="false">Q1427+P1428</f>
        <v>7</v>
      </c>
    </row>
    <row r="1429" customFormat="false" ht="15" hidden="false" customHeight="false" outlineLevel="0" collapsed="false">
      <c r="C1429" s="0" t="n">
        <f aca="false">IF(AND(Comments!B1427='Policy card'!$C$3,Comments!N1427="Open"),1,0)</f>
        <v>0</v>
      </c>
      <c r="D1429" s="0" t="str">
        <f aca="false">IF(C1429=1,E1429,IF(P1429=1,$E$2003+Q1429,""))</f>
        <v/>
      </c>
      <c r="E1429" s="0" t="n">
        <f aca="false">E1428+C1429</f>
        <v>0</v>
      </c>
      <c r="P1429" s="0" t="n">
        <f aca="false">IF(AND(Comments!B1427='Policy card'!$C$3,Comments!N1427="Closed"),1,0)</f>
        <v>0</v>
      </c>
      <c r="Q1429" s="0" t="n">
        <f aca="false">Q1428+P1429</f>
        <v>7</v>
      </c>
    </row>
    <row r="1430" customFormat="false" ht="15" hidden="false" customHeight="false" outlineLevel="0" collapsed="false">
      <c r="C1430" s="0" t="n">
        <f aca="false">IF(AND(Comments!B1428='Policy card'!$C$3,Comments!N1428="Open"),1,0)</f>
        <v>0</v>
      </c>
      <c r="D1430" s="0" t="str">
        <f aca="false">IF(C1430=1,E1430,IF(P1430=1,$E$2003+Q1430,""))</f>
        <v/>
      </c>
      <c r="E1430" s="0" t="n">
        <f aca="false">E1429+C1430</f>
        <v>0</v>
      </c>
      <c r="P1430" s="0" t="n">
        <f aca="false">IF(AND(Comments!B1428='Policy card'!$C$3,Comments!N1428="Closed"),1,0)</f>
        <v>0</v>
      </c>
      <c r="Q1430" s="0" t="n">
        <f aca="false">Q1429+P1430</f>
        <v>7</v>
      </c>
    </row>
    <row r="1431" customFormat="false" ht="15" hidden="false" customHeight="false" outlineLevel="0" collapsed="false">
      <c r="C1431" s="0" t="n">
        <f aca="false">IF(AND(Comments!B1429='Policy card'!$C$3,Comments!N1429="Open"),1,0)</f>
        <v>0</v>
      </c>
      <c r="D1431" s="0" t="str">
        <f aca="false">IF(C1431=1,E1431,IF(P1431=1,$E$2003+Q1431,""))</f>
        <v/>
      </c>
      <c r="E1431" s="0" t="n">
        <f aca="false">E1430+C1431</f>
        <v>0</v>
      </c>
      <c r="P1431" s="0" t="n">
        <f aca="false">IF(AND(Comments!B1429='Policy card'!$C$3,Comments!N1429="Closed"),1,0)</f>
        <v>0</v>
      </c>
      <c r="Q1431" s="0" t="n">
        <f aca="false">Q1430+P1431</f>
        <v>7</v>
      </c>
    </row>
    <row r="1432" customFormat="false" ht="15" hidden="false" customHeight="false" outlineLevel="0" collapsed="false">
      <c r="C1432" s="0" t="n">
        <f aca="false">IF(AND(Comments!B1430='Policy card'!$C$3,Comments!N1430="Open"),1,0)</f>
        <v>0</v>
      </c>
      <c r="D1432" s="0" t="str">
        <f aca="false">IF(C1432=1,E1432,IF(P1432=1,$E$2003+Q1432,""))</f>
        <v/>
      </c>
      <c r="E1432" s="0" t="n">
        <f aca="false">E1431+C1432</f>
        <v>0</v>
      </c>
      <c r="P1432" s="0" t="n">
        <f aca="false">IF(AND(Comments!B1430='Policy card'!$C$3,Comments!N1430="Closed"),1,0)</f>
        <v>0</v>
      </c>
      <c r="Q1432" s="0" t="n">
        <f aca="false">Q1431+P1432</f>
        <v>7</v>
      </c>
    </row>
    <row r="1433" customFormat="false" ht="15" hidden="false" customHeight="false" outlineLevel="0" collapsed="false">
      <c r="C1433" s="0" t="n">
        <f aca="false">IF(AND(Comments!B1431='Policy card'!$C$3,Comments!N1431="Open"),1,0)</f>
        <v>0</v>
      </c>
      <c r="D1433" s="0" t="str">
        <f aca="false">IF(C1433=1,E1433,IF(P1433=1,$E$2003+Q1433,""))</f>
        <v/>
      </c>
      <c r="E1433" s="0" t="n">
        <f aca="false">E1432+C1433</f>
        <v>0</v>
      </c>
      <c r="P1433" s="0" t="n">
        <f aca="false">IF(AND(Comments!B1431='Policy card'!$C$3,Comments!N1431="Closed"),1,0)</f>
        <v>0</v>
      </c>
      <c r="Q1433" s="0" t="n">
        <f aca="false">Q1432+P1433</f>
        <v>7</v>
      </c>
    </row>
    <row r="1434" customFormat="false" ht="15" hidden="false" customHeight="false" outlineLevel="0" collapsed="false">
      <c r="C1434" s="0" t="n">
        <f aca="false">IF(AND(Comments!B1432='Policy card'!$C$3,Comments!N1432="Open"),1,0)</f>
        <v>0</v>
      </c>
      <c r="D1434" s="0" t="str">
        <f aca="false">IF(C1434=1,E1434,IF(P1434=1,$E$2003+Q1434,""))</f>
        <v/>
      </c>
      <c r="E1434" s="0" t="n">
        <f aca="false">E1433+C1434</f>
        <v>0</v>
      </c>
      <c r="P1434" s="0" t="n">
        <f aca="false">IF(AND(Comments!B1432='Policy card'!$C$3,Comments!N1432="Closed"),1,0)</f>
        <v>0</v>
      </c>
      <c r="Q1434" s="0" t="n">
        <f aca="false">Q1433+P1434</f>
        <v>7</v>
      </c>
    </row>
    <row r="1435" customFormat="false" ht="15" hidden="false" customHeight="false" outlineLevel="0" collapsed="false">
      <c r="C1435" s="0" t="n">
        <f aca="false">IF(AND(Comments!B1433='Policy card'!$C$3,Comments!N1433="Open"),1,0)</f>
        <v>0</v>
      </c>
      <c r="D1435" s="0" t="str">
        <f aca="false">IF(C1435=1,E1435,IF(P1435=1,$E$2003+Q1435,""))</f>
        <v/>
      </c>
      <c r="E1435" s="0" t="n">
        <f aca="false">E1434+C1435</f>
        <v>0</v>
      </c>
      <c r="P1435" s="0" t="n">
        <f aca="false">IF(AND(Comments!B1433='Policy card'!$C$3,Comments!N1433="Closed"),1,0)</f>
        <v>0</v>
      </c>
      <c r="Q1435" s="0" t="n">
        <f aca="false">Q1434+P1435</f>
        <v>7</v>
      </c>
    </row>
    <row r="1436" customFormat="false" ht="15" hidden="false" customHeight="false" outlineLevel="0" collapsed="false">
      <c r="C1436" s="0" t="n">
        <f aca="false">IF(AND(Comments!B1434='Policy card'!$C$3,Comments!N1434="Open"),1,0)</f>
        <v>0</v>
      </c>
      <c r="D1436" s="0" t="str">
        <f aca="false">IF(C1436=1,E1436,IF(P1436=1,$E$2003+Q1436,""))</f>
        <v/>
      </c>
      <c r="E1436" s="0" t="n">
        <f aca="false">E1435+C1436</f>
        <v>0</v>
      </c>
      <c r="P1436" s="0" t="n">
        <f aca="false">IF(AND(Comments!B1434='Policy card'!$C$3,Comments!N1434="Closed"),1,0)</f>
        <v>0</v>
      </c>
      <c r="Q1436" s="0" t="n">
        <f aca="false">Q1435+P1436</f>
        <v>7</v>
      </c>
    </row>
    <row r="1437" customFormat="false" ht="15" hidden="false" customHeight="false" outlineLevel="0" collapsed="false">
      <c r="C1437" s="0" t="n">
        <f aca="false">IF(AND(Comments!B1435='Policy card'!$C$3,Comments!N1435="Open"),1,0)</f>
        <v>0</v>
      </c>
      <c r="D1437" s="0" t="str">
        <f aca="false">IF(C1437=1,E1437,IF(P1437=1,$E$2003+Q1437,""))</f>
        <v/>
      </c>
      <c r="E1437" s="0" t="n">
        <f aca="false">E1436+C1437</f>
        <v>0</v>
      </c>
      <c r="P1437" s="0" t="n">
        <f aca="false">IF(AND(Comments!B1435='Policy card'!$C$3,Comments!N1435="Closed"),1,0)</f>
        <v>0</v>
      </c>
      <c r="Q1437" s="0" t="n">
        <f aca="false">Q1436+P1437</f>
        <v>7</v>
      </c>
    </row>
    <row r="1438" customFormat="false" ht="15" hidden="false" customHeight="false" outlineLevel="0" collapsed="false">
      <c r="C1438" s="0" t="n">
        <f aca="false">IF(AND(Comments!B1436='Policy card'!$C$3,Comments!N1436="Open"),1,0)</f>
        <v>0</v>
      </c>
      <c r="D1438" s="0" t="str">
        <f aca="false">IF(C1438=1,E1438,IF(P1438=1,$E$2003+Q1438,""))</f>
        <v/>
      </c>
      <c r="E1438" s="0" t="n">
        <f aca="false">E1437+C1438</f>
        <v>0</v>
      </c>
      <c r="P1438" s="0" t="n">
        <f aca="false">IF(AND(Comments!B1436='Policy card'!$C$3,Comments!N1436="Closed"),1,0)</f>
        <v>0</v>
      </c>
      <c r="Q1438" s="0" t="n">
        <f aca="false">Q1437+P1438</f>
        <v>7</v>
      </c>
    </row>
    <row r="1439" customFormat="false" ht="15" hidden="false" customHeight="false" outlineLevel="0" collapsed="false">
      <c r="C1439" s="0" t="n">
        <f aca="false">IF(AND(Comments!B1437='Policy card'!$C$3,Comments!N1437="Open"),1,0)</f>
        <v>0</v>
      </c>
      <c r="D1439" s="0" t="str">
        <f aca="false">IF(C1439=1,E1439,IF(P1439=1,$E$2003+Q1439,""))</f>
        <v/>
      </c>
      <c r="E1439" s="0" t="n">
        <f aca="false">E1438+C1439</f>
        <v>0</v>
      </c>
      <c r="P1439" s="0" t="n">
        <f aca="false">IF(AND(Comments!B1437='Policy card'!$C$3,Comments!N1437="Closed"),1,0)</f>
        <v>0</v>
      </c>
      <c r="Q1439" s="0" t="n">
        <f aca="false">Q1438+P1439</f>
        <v>7</v>
      </c>
    </row>
    <row r="1440" customFormat="false" ht="15" hidden="false" customHeight="false" outlineLevel="0" collapsed="false">
      <c r="C1440" s="0" t="n">
        <f aca="false">IF(AND(Comments!B1438='Policy card'!$C$3,Comments!N1438="Open"),1,0)</f>
        <v>0</v>
      </c>
      <c r="D1440" s="0" t="str">
        <f aca="false">IF(C1440=1,E1440,IF(P1440=1,$E$2003+Q1440,""))</f>
        <v/>
      </c>
      <c r="E1440" s="0" t="n">
        <f aca="false">E1439+C1440</f>
        <v>0</v>
      </c>
      <c r="P1440" s="0" t="n">
        <f aca="false">IF(AND(Comments!B1438='Policy card'!$C$3,Comments!N1438="Closed"),1,0)</f>
        <v>0</v>
      </c>
      <c r="Q1440" s="0" t="n">
        <f aca="false">Q1439+P1440</f>
        <v>7</v>
      </c>
    </row>
    <row r="1441" customFormat="false" ht="15" hidden="false" customHeight="false" outlineLevel="0" collapsed="false">
      <c r="C1441" s="0" t="n">
        <f aca="false">IF(AND(Comments!B1439='Policy card'!$C$3,Comments!N1439="Open"),1,0)</f>
        <v>0</v>
      </c>
      <c r="D1441" s="0" t="str">
        <f aca="false">IF(C1441=1,E1441,IF(P1441=1,$E$2003+Q1441,""))</f>
        <v/>
      </c>
      <c r="E1441" s="0" t="n">
        <f aca="false">E1440+C1441</f>
        <v>0</v>
      </c>
      <c r="P1441" s="0" t="n">
        <f aca="false">IF(AND(Comments!B1439='Policy card'!$C$3,Comments!N1439="Closed"),1,0)</f>
        <v>0</v>
      </c>
      <c r="Q1441" s="0" t="n">
        <f aca="false">Q1440+P1441</f>
        <v>7</v>
      </c>
    </row>
    <row r="1442" customFormat="false" ht="15" hidden="false" customHeight="false" outlineLevel="0" collapsed="false">
      <c r="C1442" s="0" t="n">
        <f aca="false">IF(AND(Comments!B1440='Policy card'!$C$3,Comments!N1440="Open"),1,0)</f>
        <v>0</v>
      </c>
      <c r="D1442" s="0" t="str">
        <f aca="false">IF(C1442=1,E1442,IF(P1442=1,$E$2003+Q1442,""))</f>
        <v/>
      </c>
      <c r="E1442" s="0" t="n">
        <f aca="false">E1441+C1442</f>
        <v>0</v>
      </c>
      <c r="P1442" s="0" t="n">
        <f aca="false">IF(AND(Comments!B1440='Policy card'!$C$3,Comments!N1440="Closed"),1,0)</f>
        <v>0</v>
      </c>
      <c r="Q1442" s="0" t="n">
        <f aca="false">Q1441+P1442</f>
        <v>7</v>
      </c>
    </row>
    <row r="1443" customFormat="false" ht="15" hidden="false" customHeight="false" outlineLevel="0" collapsed="false">
      <c r="C1443" s="0" t="n">
        <f aca="false">IF(AND(Comments!B1441='Policy card'!$C$3,Comments!N1441="Open"),1,0)</f>
        <v>0</v>
      </c>
      <c r="D1443" s="0" t="str">
        <f aca="false">IF(C1443=1,E1443,IF(P1443=1,$E$2003+Q1443,""))</f>
        <v/>
      </c>
      <c r="E1443" s="0" t="n">
        <f aca="false">E1442+C1443</f>
        <v>0</v>
      </c>
      <c r="P1443" s="0" t="n">
        <f aca="false">IF(AND(Comments!B1441='Policy card'!$C$3,Comments!N1441="Closed"),1,0)</f>
        <v>0</v>
      </c>
      <c r="Q1443" s="0" t="n">
        <f aca="false">Q1442+P1443</f>
        <v>7</v>
      </c>
    </row>
    <row r="1444" customFormat="false" ht="15" hidden="false" customHeight="false" outlineLevel="0" collapsed="false">
      <c r="C1444" s="0" t="n">
        <f aca="false">IF(AND(Comments!B1442='Policy card'!$C$3,Comments!N1442="Open"),1,0)</f>
        <v>0</v>
      </c>
      <c r="D1444" s="0" t="str">
        <f aca="false">IF(C1444=1,E1444,IF(P1444=1,$E$2003+Q1444,""))</f>
        <v/>
      </c>
      <c r="E1444" s="0" t="n">
        <f aca="false">E1443+C1444</f>
        <v>0</v>
      </c>
      <c r="P1444" s="0" t="n">
        <f aca="false">IF(AND(Comments!B1442='Policy card'!$C$3,Comments!N1442="Closed"),1,0)</f>
        <v>0</v>
      </c>
      <c r="Q1444" s="0" t="n">
        <f aca="false">Q1443+P1444</f>
        <v>7</v>
      </c>
    </row>
    <row r="1445" customFormat="false" ht="15" hidden="false" customHeight="false" outlineLevel="0" collapsed="false">
      <c r="C1445" s="0" t="n">
        <f aca="false">IF(AND(Comments!B1443='Policy card'!$C$3,Comments!N1443="Open"),1,0)</f>
        <v>0</v>
      </c>
      <c r="D1445" s="0" t="str">
        <f aca="false">IF(C1445=1,E1445,IF(P1445=1,$E$2003+Q1445,""))</f>
        <v/>
      </c>
      <c r="E1445" s="0" t="n">
        <f aca="false">E1444+C1445</f>
        <v>0</v>
      </c>
      <c r="P1445" s="0" t="n">
        <f aca="false">IF(AND(Comments!B1443='Policy card'!$C$3,Comments!N1443="Closed"),1,0)</f>
        <v>0</v>
      </c>
      <c r="Q1445" s="0" t="n">
        <f aca="false">Q1444+P1445</f>
        <v>7</v>
      </c>
    </row>
    <row r="1446" customFormat="false" ht="15" hidden="false" customHeight="false" outlineLevel="0" collapsed="false">
      <c r="C1446" s="0" t="n">
        <f aca="false">IF(AND(Comments!B1444='Policy card'!$C$3,Comments!N1444="Open"),1,0)</f>
        <v>0</v>
      </c>
      <c r="D1446" s="0" t="str">
        <f aca="false">IF(C1446=1,E1446,IF(P1446=1,$E$2003+Q1446,""))</f>
        <v/>
      </c>
      <c r="E1446" s="0" t="n">
        <f aca="false">E1445+C1446</f>
        <v>0</v>
      </c>
      <c r="P1446" s="0" t="n">
        <f aca="false">IF(AND(Comments!B1444='Policy card'!$C$3,Comments!N1444="Closed"),1,0)</f>
        <v>0</v>
      </c>
      <c r="Q1446" s="0" t="n">
        <f aca="false">Q1445+P1446</f>
        <v>7</v>
      </c>
    </row>
    <row r="1447" customFormat="false" ht="15" hidden="false" customHeight="false" outlineLevel="0" collapsed="false">
      <c r="C1447" s="0" t="n">
        <f aca="false">IF(AND(Comments!B1445='Policy card'!$C$3,Comments!N1445="Open"),1,0)</f>
        <v>0</v>
      </c>
      <c r="D1447" s="0" t="str">
        <f aca="false">IF(C1447=1,E1447,IF(P1447=1,$E$2003+Q1447,""))</f>
        <v/>
      </c>
      <c r="E1447" s="0" t="n">
        <f aca="false">E1446+C1447</f>
        <v>0</v>
      </c>
      <c r="P1447" s="0" t="n">
        <f aca="false">IF(AND(Comments!B1445='Policy card'!$C$3,Comments!N1445="Closed"),1,0)</f>
        <v>0</v>
      </c>
      <c r="Q1447" s="0" t="n">
        <f aca="false">Q1446+P1447</f>
        <v>7</v>
      </c>
    </row>
    <row r="1448" customFormat="false" ht="15" hidden="false" customHeight="false" outlineLevel="0" collapsed="false">
      <c r="C1448" s="0" t="n">
        <f aca="false">IF(AND(Comments!B1446='Policy card'!$C$3,Comments!N1446="Open"),1,0)</f>
        <v>0</v>
      </c>
      <c r="D1448" s="0" t="str">
        <f aca="false">IF(C1448=1,E1448,IF(P1448=1,$E$2003+Q1448,""))</f>
        <v/>
      </c>
      <c r="E1448" s="0" t="n">
        <f aca="false">E1447+C1448</f>
        <v>0</v>
      </c>
      <c r="P1448" s="0" t="n">
        <f aca="false">IF(AND(Comments!B1446='Policy card'!$C$3,Comments!N1446="Closed"),1,0)</f>
        <v>0</v>
      </c>
      <c r="Q1448" s="0" t="n">
        <f aca="false">Q1447+P1448</f>
        <v>7</v>
      </c>
    </row>
    <row r="1449" customFormat="false" ht="15" hidden="false" customHeight="false" outlineLevel="0" collapsed="false">
      <c r="C1449" s="0" t="n">
        <f aca="false">IF(AND(Comments!B1447='Policy card'!$C$3,Comments!N1447="Open"),1,0)</f>
        <v>0</v>
      </c>
      <c r="D1449" s="0" t="str">
        <f aca="false">IF(C1449=1,E1449,IF(P1449=1,$E$2003+Q1449,""))</f>
        <v/>
      </c>
      <c r="E1449" s="0" t="n">
        <f aca="false">E1448+C1449</f>
        <v>0</v>
      </c>
      <c r="P1449" s="0" t="n">
        <f aca="false">IF(AND(Comments!B1447='Policy card'!$C$3,Comments!N1447="Closed"),1,0)</f>
        <v>0</v>
      </c>
      <c r="Q1449" s="0" t="n">
        <f aca="false">Q1448+P1449</f>
        <v>7</v>
      </c>
    </row>
    <row r="1450" customFormat="false" ht="15" hidden="false" customHeight="false" outlineLevel="0" collapsed="false">
      <c r="C1450" s="0" t="n">
        <f aca="false">IF(AND(Comments!B1448='Policy card'!$C$3,Comments!N1448="Open"),1,0)</f>
        <v>0</v>
      </c>
      <c r="D1450" s="0" t="str">
        <f aca="false">IF(C1450=1,E1450,IF(P1450=1,$E$2003+Q1450,""))</f>
        <v/>
      </c>
      <c r="E1450" s="0" t="n">
        <f aca="false">E1449+C1450</f>
        <v>0</v>
      </c>
      <c r="P1450" s="0" t="n">
        <f aca="false">IF(AND(Comments!B1448='Policy card'!$C$3,Comments!N1448="Closed"),1,0)</f>
        <v>0</v>
      </c>
      <c r="Q1450" s="0" t="n">
        <f aca="false">Q1449+P1450</f>
        <v>7</v>
      </c>
    </row>
    <row r="1451" customFormat="false" ht="15" hidden="false" customHeight="false" outlineLevel="0" collapsed="false">
      <c r="C1451" s="0" t="n">
        <f aca="false">IF(AND(Comments!B1449='Policy card'!$C$3,Comments!N1449="Open"),1,0)</f>
        <v>0</v>
      </c>
      <c r="D1451" s="0" t="str">
        <f aca="false">IF(C1451=1,E1451,IF(P1451=1,$E$2003+Q1451,""))</f>
        <v/>
      </c>
      <c r="E1451" s="0" t="n">
        <f aca="false">E1450+C1451</f>
        <v>0</v>
      </c>
      <c r="P1451" s="0" t="n">
        <f aca="false">IF(AND(Comments!B1449='Policy card'!$C$3,Comments!N1449="Closed"),1,0)</f>
        <v>0</v>
      </c>
      <c r="Q1451" s="0" t="n">
        <f aca="false">Q1450+P1451</f>
        <v>7</v>
      </c>
    </row>
    <row r="1452" customFormat="false" ht="15" hidden="false" customHeight="false" outlineLevel="0" collapsed="false">
      <c r="C1452" s="0" t="n">
        <f aca="false">IF(AND(Comments!B1450='Policy card'!$C$3,Comments!N1450="Open"),1,0)</f>
        <v>0</v>
      </c>
      <c r="D1452" s="0" t="str">
        <f aca="false">IF(C1452=1,E1452,IF(P1452=1,$E$2003+Q1452,""))</f>
        <v/>
      </c>
      <c r="E1452" s="0" t="n">
        <f aca="false">E1451+C1452</f>
        <v>0</v>
      </c>
      <c r="P1452" s="0" t="n">
        <f aca="false">IF(AND(Comments!B1450='Policy card'!$C$3,Comments!N1450="Closed"),1,0)</f>
        <v>0</v>
      </c>
      <c r="Q1452" s="0" t="n">
        <f aca="false">Q1451+P1452</f>
        <v>7</v>
      </c>
    </row>
    <row r="1453" customFormat="false" ht="15" hidden="false" customHeight="false" outlineLevel="0" collapsed="false">
      <c r="C1453" s="0" t="n">
        <f aca="false">IF(AND(Comments!B1451='Policy card'!$C$3,Comments!N1451="Open"),1,0)</f>
        <v>0</v>
      </c>
      <c r="D1453" s="0" t="str">
        <f aca="false">IF(C1453=1,E1453,IF(P1453=1,$E$2003+Q1453,""))</f>
        <v/>
      </c>
      <c r="E1453" s="0" t="n">
        <f aca="false">E1452+C1453</f>
        <v>0</v>
      </c>
      <c r="P1453" s="0" t="n">
        <f aca="false">IF(AND(Comments!B1451='Policy card'!$C$3,Comments!N1451="Closed"),1,0)</f>
        <v>0</v>
      </c>
      <c r="Q1453" s="0" t="n">
        <f aca="false">Q1452+P1453</f>
        <v>7</v>
      </c>
    </row>
    <row r="1454" customFormat="false" ht="15" hidden="false" customHeight="false" outlineLevel="0" collapsed="false">
      <c r="C1454" s="0" t="n">
        <f aca="false">IF(AND(Comments!B1452='Policy card'!$C$3,Comments!N1452="Open"),1,0)</f>
        <v>0</v>
      </c>
      <c r="D1454" s="0" t="str">
        <f aca="false">IF(C1454=1,E1454,IF(P1454=1,$E$2003+Q1454,""))</f>
        <v/>
      </c>
      <c r="E1454" s="0" t="n">
        <f aca="false">E1453+C1454</f>
        <v>0</v>
      </c>
      <c r="P1454" s="0" t="n">
        <f aca="false">IF(AND(Comments!B1452='Policy card'!$C$3,Comments!N1452="Closed"),1,0)</f>
        <v>0</v>
      </c>
      <c r="Q1454" s="0" t="n">
        <f aca="false">Q1453+P1454</f>
        <v>7</v>
      </c>
    </row>
    <row r="1455" customFormat="false" ht="15" hidden="false" customHeight="false" outlineLevel="0" collapsed="false">
      <c r="C1455" s="0" t="n">
        <f aca="false">IF(AND(Comments!B1453='Policy card'!$C$3,Comments!N1453="Open"),1,0)</f>
        <v>0</v>
      </c>
      <c r="D1455" s="0" t="str">
        <f aca="false">IF(C1455=1,E1455,IF(P1455=1,$E$2003+Q1455,""))</f>
        <v/>
      </c>
      <c r="E1455" s="0" t="n">
        <f aca="false">E1454+C1455</f>
        <v>0</v>
      </c>
      <c r="P1455" s="0" t="n">
        <f aca="false">IF(AND(Comments!B1453='Policy card'!$C$3,Comments!N1453="Closed"),1,0)</f>
        <v>0</v>
      </c>
      <c r="Q1455" s="0" t="n">
        <f aca="false">Q1454+P1455</f>
        <v>7</v>
      </c>
    </row>
    <row r="1456" customFormat="false" ht="15" hidden="false" customHeight="false" outlineLevel="0" collapsed="false">
      <c r="C1456" s="0" t="n">
        <f aca="false">IF(AND(Comments!B1454='Policy card'!$C$3,Comments!N1454="Open"),1,0)</f>
        <v>0</v>
      </c>
      <c r="D1456" s="0" t="str">
        <f aca="false">IF(C1456=1,E1456,IF(P1456=1,$E$2003+Q1456,""))</f>
        <v/>
      </c>
      <c r="E1456" s="0" t="n">
        <f aca="false">E1455+C1456</f>
        <v>0</v>
      </c>
      <c r="P1456" s="0" t="n">
        <f aca="false">IF(AND(Comments!B1454='Policy card'!$C$3,Comments!N1454="Closed"),1,0)</f>
        <v>0</v>
      </c>
      <c r="Q1456" s="0" t="n">
        <f aca="false">Q1455+P1456</f>
        <v>7</v>
      </c>
    </row>
    <row r="1457" customFormat="false" ht="15" hidden="false" customHeight="false" outlineLevel="0" collapsed="false">
      <c r="C1457" s="0" t="n">
        <f aca="false">IF(AND(Comments!B1455='Policy card'!$C$3,Comments!N1455="Open"),1,0)</f>
        <v>0</v>
      </c>
      <c r="D1457" s="0" t="str">
        <f aca="false">IF(C1457=1,E1457,IF(P1457=1,$E$2003+Q1457,""))</f>
        <v/>
      </c>
      <c r="E1457" s="0" t="n">
        <f aca="false">E1456+C1457</f>
        <v>0</v>
      </c>
      <c r="P1457" s="0" t="n">
        <f aca="false">IF(AND(Comments!B1455='Policy card'!$C$3,Comments!N1455="Closed"),1,0)</f>
        <v>0</v>
      </c>
      <c r="Q1457" s="0" t="n">
        <f aca="false">Q1456+P1457</f>
        <v>7</v>
      </c>
    </row>
    <row r="1458" customFormat="false" ht="15" hidden="false" customHeight="false" outlineLevel="0" collapsed="false">
      <c r="C1458" s="0" t="n">
        <f aca="false">IF(AND(Comments!B1456='Policy card'!$C$3,Comments!N1456="Open"),1,0)</f>
        <v>0</v>
      </c>
      <c r="D1458" s="0" t="str">
        <f aca="false">IF(C1458=1,E1458,IF(P1458=1,$E$2003+Q1458,""))</f>
        <v/>
      </c>
      <c r="E1458" s="0" t="n">
        <f aca="false">E1457+C1458</f>
        <v>0</v>
      </c>
      <c r="P1458" s="0" t="n">
        <f aca="false">IF(AND(Comments!B1456='Policy card'!$C$3,Comments!N1456="Closed"),1,0)</f>
        <v>0</v>
      </c>
      <c r="Q1458" s="0" t="n">
        <f aca="false">Q1457+P1458</f>
        <v>7</v>
      </c>
    </row>
    <row r="1459" customFormat="false" ht="15" hidden="false" customHeight="false" outlineLevel="0" collapsed="false">
      <c r="C1459" s="0" t="n">
        <f aca="false">IF(AND(Comments!B1457='Policy card'!$C$3,Comments!N1457="Open"),1,0)</f>
        <v>0</v>
      </c>
      <c r="D1459" s="0" t="str">
        <f aca="false">IF(C1459=1,E1459,IF(P1459=1,$E$2003+Q1459,""))</f>
        <v/>
      </c>
      <c r="E1459" s="0" t="n">
        <f aca="false">E1458+C1459</f>
        <v>0</v>
      </c>
      <c r="P1459" s="0" t="n">
        <f aca="false">IF(AND(Comments!B1457='Policy card'!$C$3,Comments!N1457="Closed"),1,0)</f>
        <v>0</v>
      </c>
      <c r="Q1459" s="0" t="n">
        <f aca="false">Q1458+P1459</f>
        <v>7</v>
      </c>
    </row>
    <row r="1460" customFormat="false" ht="15" hidden="false" customHeight="false" outlineLevel="0" collapsed="false">
      <c r="C1460" s="0" t="n">
        <f aca="false">IF(AND(Comments!B1458='Policy card'!$C$3,Comments!N1458="Open"),1,0)</f>
        <v>0</v>
      </c>
      <c r="D1460" s="0" t="str">
        <f aca="false">IF(C1460=1,E1460,IF(P1460=1,$E$2003+Q1460,""))</f>
        <v/>
      </c>
      <c r="E1460" s="0" t="n">
        <f aca="false">E1459+C1460</f>
        <v>0</v>
      </c>
      <c r="P1460" s="0" t="n">
        <f aca="false">IF(AND(Comments!B1458='Policy card'!$C$3,Comments!N1458="Closed"),1,0)</f>
        <v>0</v>
      </c>
      <c r="Q1460" s="0" t="n">
        <f aca="false">Q1459+P1460</f>
        <v>7</v>
      </c>
    </row>
    <row r="1461" customFormat="false" ht="15" hidden="false" customHeight="false" outlineLevel="0" collapsed="false">
      <c r="C1461" s="0" t="n">
        <f aca="false">IF(AND(Comments!B1459='Policy card'!$C$3,Comments!N1459="Open"),1,0)</f>
        <v>0</v>
      </c>
      <c r="D1461" s="0" t="str">
        <f aca="false">IF(C1461=1,E1461,IF(P1461=1,$E$2003+Q1461,""))</f>
        <v/>
      </c>
      <c r="E1461" s="0" t="n">
        <f aca="false">E1460+C1461</f>
        <v>0</v>
      </c>
      <c r="P1461" s="0" t="n">
        <f aca="false">IF(AND(Comments!B1459='Policy card'!$C$3,Comments!N1459="Closed"),1,0)</f>
        <v>0</v>
      </c>
      <c r="Q1461" s="0" t="n">
        <f aca="false">Q1460+P1461</f>
        <v>7</v>
      </c>
    </row>
    <row r="1462" customFormat="false" ht="15" hidden="false" customHeight="false" outlineLevel="0" collapsed="false">
      <c r="C1462" s="0" t="n">
        <f aca="false">IF(AND(Comments!B1460='Policy card'!$C$3,Comments!N1460="Open"),1,0)</f>
        <v>0</v>
      </c>
      <c r="D1462" s="0" t="str">
        <f aca="false">IF(C1462=1,E1462,IF(P1462=1,$E$2003+Q1462,""))</f>
        <v/>
      </c>
      <c r="E1462" s="0" t="n">
        <f aca="false">E1461+C1462</f>
        <v>0</v>
      </c>
      <c r="P1462" s="0" t="n">
        <f aca="false">IF(AND(Comments!B1460='Policy card'!$C$3,Comments!N1460="Closed"),1,0)</f>
        <v>0</v>
      </c>
      <c r="Q1462" s="0" t="n">
        <f aca="false">Q1461+P1462</f>
        <v>7</v>
      </c>
    </row>
    <row r="1463" customFormat="false" ht="15" hidden="false" customHeight="false" outlineLevel="0" collapsed="false">
      <c r="C1463" s="0" t="n">
        <f aca="false">IF(AND(Comments!B1461='Policy card'!$C$3,Comments!N1461="Open"),1,0)</f>
        <v>0</v>
      </c>
      <c r="D1463" s="0" t="str">
        <f aca="false">IF(C1463=1,E1463,IF(P1463=1,$E$2003+Q1463,""))</f>
        <v/>
      </c>
      <c r="E1463" s="0" t="n">
        <f aca="false">E1462+C1463</f>
        <v>0</v>
      </c>
      <c r="P1463" s="0" t="n">
        <f aca="false">IF(AND(Comments!B1461='Policy card'!$C$3,Comments!N1461="Closed"),1,0)</f>
        <v>0</v>
      </c>
      <c r="Q1463" s="0" t="n">
        <f aca="false">Q1462+P1463</f>
        <v>7</v>
      </c>
    </row>
    <row r="1464" customFormat="false" ht="15" hidden="false" customHeight="false" outlineLevel="0" collapsed="false">
      <c r="C1464" s="0" t="n">
        <f aca="false">IF(AND(Comments!B1462='Policy card'!$C$3,Comments!N1462="Open"),1,0)</f>
        <v>0</v>
      </c>
      <c r="D1464" s="0" t="str">
        <f aca="false">IF(C1464=1,E1464,IF(P1464=1,$E$2003+Q1464,""))</f>
        <v/>
      </c>
      <c r="E1464" s="0" t="n">
        <f aca="false">E1463+C1464</f>
        <v>0</v>
      </c>
      <c r="P1464" s="0" t="n">
        <f aca="false">IF(AND(Comments!B1462='Policy card'!$C$3,Comments!N1462="Closed"),1,0)</f>
        <v>0</v>
      </c>
      <c r="Q1464" s="0" t="n">
        <f aca="false">Q1463+P1464</f>
        <v>7</v>
      </c>
    </row>
    <row r="1465" customFormat="false" ht="15" hidden="false" customHeight="false" outlineLevel="0" collapsed="false">
      <c r="C1465" s="0" t="n">
        <f aca="false">IF(AND(Comments!B1463='Policy card'!$C$3,Comments!N1463="Open"),1,0)</f>
        <v>0</v>
      </c>
      <c r="D1465" s="0" t="str">
        <f aca="false">IF(C1465=1,E1465,IF(P1465=1,$E$2003+Q1465,""))</f>
        <v/>
      </c>
      <c r="E1465" s="0" t="n">
        <f aca="false">E1464+C1465</f>
        <v>0</v>
      </c>
      <c r="P1465" s="0" t="n">
        <f aca="false">IF(AND(Comments!B1463='Policy card'!$C$3,Comments!N1463="Closed"),1,0)</f>
        <v>0</v>
      </c>
      <c r="Q1465" s="0" t="n">
        <f aca="false">Q1464+P1465</f>
        <v>7</v>
      </c>
    </row>
    <row r="1466" customFormat="false" ht="15" hidden="false" customHeight="false" outlineLevel="0" collapsed="false">
      <c r="C1466" s="0" t="n">
        <f aca="false">IF(AND(Comments!B1464='Policy card'!$C$3,Comments!N1464="Open"),1,0)</f>
        <v>0</v>
      </c>
      <c r="D1466" s="0" t="str">
        <f aca="false">IF(C1466=1,E1466,IF(P1466=1,$E$2003+Q1466,""))</f>
        <v/>
      </c>
      <c r="E1466" s="0" t="n">
        <f aca="false">E1465+C1466</f>
        <v>0</v>
      </c>
      <c r="P1466" s="0" t="n">
        <f aca="false">IF(AND(Comments!B1464='Policy card'!$C$3,Comments!N1464="Closed"),1,0)</f>
        <v>0</v>
      </c>
      <c r="Q1466" s="0" t="n">
        <f aca="false">Q1465+P1466</f>
        <v>7</v>
      </c>
    </row>
    <row r="1467" customFormat="false" ht="15" hidden="false" customHeight="false" outlineLevel="0" collapsed="false">
      <c r="C1467" s="0" t="n">
        <f aca="false">IF(AND(Comments!B1465='Policy card'!$C$3,Comments!N1465="Open"),1,0)</f>
        <v>0</v>
      </c>
      <c r="D1467" s="0" t="str">
        <f aca="false">IF(C1467=1,E1467,IF(P1467=1,$E$2003+Q1467,""))</f>
        <v/>
      </c>
      <c r="E1467" s="0" t="n">
        <f aca="false">E1466+C1467</f>
        <v>0</v>
      </c>
      <c r="P1467" s="0" t="n">
        <f aca="false">IF(AND(Comments!B1465='Policy card'!$C$3,Comments!N1465="Closed"),1,0)</f>
        <v>0</v>
      </c>
      <c r="Q1467" s="0" t="n">
        <f aca="false">Q1466+P1467</f>
        <v>7</v>
      </c>
    </row>
    <row r="1468" customFormat="false" ht="15" hidden="false" customHeight="false" outlineLevel="0" collapsed="false">
      <c r="C1468" s="0" t="n">
        <f aca="false">IF(AND(Comments!B1466='Policy card'!$C$3,Comments!N1466="Open"),1,0)</f>
        <v>0</v>
      </c>
      <c r="D1468" s="0" t="str">
        <f aca="false">IF(C1468=1,E1468,IF(P1468=1,$E$2003+Q1468,""))</f>
        <v/>
      </c>
      <c r="E1468" s="0" t="n">
        <f aca="false">E1467+C1468</f>
        <v>0</v>
      </c>
      <c r="P1468" s="0" t="n">
        <f aca="false">IF(AND(Comments!B1466='Policy card'!$C$3,Comments!N1466="Closed"),1,0)</f>
        <v>0</v>
      </c>
      <c r="Q1468" s="0" t="n">
        <f aca="false">Q1467+P1468</f>
        <v>7</v>
      </c>
    </row>
    <row r="1469" customFormat="false" ht="15" hidden="false" customHeight="false" outlineLevel="0" collapsed="false">
      <c r="C1469" s="0" t="n">
        <f aca="false">IF(AND(Comments!B1467='Policy card'!$C$3,Comments!N1467="Open"),1,0)</f>
        <v>0</v>
      </c>
      <c r="D1469" s="0" t="str">
        <f aca="false">IF(C1469=1,E1469,IF(P1469=1,$E$2003+Q1469,""))</f>
        <v/>
      </c>
      <c r="E1469" s="0" t="n">
        <f aca="false">E1468+C1469</f>
        <v>0</v>
      </c>
      <c r="P1469" s="0" t="n">
        <f aca="false">IF(AND(Comments!B1467='Policy card'!$C$3,Comments!N1467="Closed"),1,0)</f>
        <v>0</v>
      </c>
      <c r="Q1469" s="0" t="n">
        <f aca="false">Q1468+P1469</f>
        <v>7</v>
      </c>
    </row>
    <row r="1470" customFormat="false" ht="15" hidden="false" customHeight="false" outlineLevel="0" collapsed="false">
      <c r="C1470" s="0" t="n">
        <f aca="false">IF(AND(Comments!B1468='Policy card'!$C$3,Comments!N1468="Open"),1,0)</f>
        <v>0</v>
      </c>
      <c r="D1470" s="0" t="str">
        <f aca="false">IF(C1470=1,E1470,IF(P1470=1,$E$2003+Q1470,""))</f>
        <v/>
      </c>
      <c r="E1470" s="0" t="n">
        <f aca="false">E1469+C1470</f>
        <v>0</v>
      </c>
      <c r="P1470" s="0" t="n">
        <f aca="false">IF(AND(Comments!B1468='Policy card'!$C$3,Comments!N1468="Closed"),1,0)</f>
        <v>0</v>
      </c>
      <c r="Q1470" s="0" t="n">
        <f aca="false">Q1469+P1470</f>
        <v>7</v>
      </c>
    </row>
    <row r="1471" customFormat="false" ht="15" hidden="false" customHeight="false" outlineLevel="0" collapsed="false">
      <c r="C1471" s="0" t="n">
        <f aca="false">IF(AND(Comments!B1469='Policy card'!$C$3,Comments!N1469="Open"),1,0)</f>
        <v>0</v>
      </c>
      <c r="D1471" s="0" t="str">
        <f aca="false">IF(C1471=1,E1471,IF(P1471=1,$E$2003+Q1471,""))</f>
        <v/>
      </c>
      <c r="E1471" s="0" t="n">
        <f aca="false">E1470+C1471</f>
        <v>0</v>
      </c>
      <c r="P1471" s="0" t="n">
        <f aca="false">IF(AND(Comments!B1469='Policy card'!$C$3,Comments!N1469="Closed"),1,0)</f>
        <v>0</v>
      </c>
      <c r="Q1471" s="0" t="n">
        <f aca="false">Q1470+P1471</f>
        <v>7</v>
      </c>
    </row>
    <row r="1472" customFormat="false" ht="15" hidden="false" customHeight="false" outlineLevel="0" collapsed="false">
      <c r="C1472" s="0" t="n">
        <f aca="false">IF(AND(Comments!B1470='Policy card'!$C$3,Comments!N1470="Open"),1,0)</f>
        <v>0</v>
      </c>
      <c r="D1472" s="0" t="str">
        <f aca="false">IF(C1472=1,E1472,IF(P1472=1,$E$2003+Q1472,""))</f>
        <v/>
      </c>
      <c r="E1472" s="0" t="n">
        <f aca="false">E1471+C1472</f>
        <v>0</v>
      </c>
      <c r="P1472" s="0" t="n">
        <f aca="false">IF(AND(Comments!B1470='Policy card'!$C$3,Comments!N1470="Closed"),1,0)</f>
        <v>0</v>
      </c>
      <c r="Q1472" s="0" t="n">
        <f aca="false">Q1471+P1472</f>
        <v>7</v>
      </c>
    </row>
    <row r="1473" customFormat="false" ht="15" hidden="false" customHeight="false" outlineLevel="0" collapsed="false">
      <c r="C1473" s="0" t="n">
        <f aca="false">IF(AND(Comments!B1471='Policy card'!$C$3,Comments!N1471="Open"),1,0)</f>
        <v>0</v>
      </c>
      <c r="D1473" s="0" t="str">
        <f aca="false">IF(C1473=1,E1473,IF(P1473=1,$E$2003+Q1473,""))</f>
        <v/>
      </c>
      <c r="E1473" s="0" t="n">
        <f aca="false">E1472+C1473</f>
        <v>0</v>
      </c>
      <c r="P1473" s="0" t="n">
        <f aca="false">IF(AND(Comments!B1471='Policy card'!$C$3,Comments!N1471="Closed"),1,0)</f>
        <v>0</v>
      </c>
      <c r="Q1473" s="0" t="n">
        <f aca="false">Q1472+P1473</f>
        <v>7</v>
      </c>
    </row>
    <row r="1474" customFormat="false" ht="15" hidden="false" customHeight="false" outlineLevel="0" collapsed="false">
      <c r="C1474" s="0" t="n">
        <f aca="false">IF(AND(Comments!B1472='Policy card'!$C$3,Comments!N1472="Open"),1,0)</f>
        <v>0</v>
      </c>
      <c r="D1474" s="0" t="str">
        <f aca="false">IF(C1474=1,E1474,IF(P1474=1,$E$2003+Q1474,""))</f>
        <v/>
      </c>
      <c r="E1474" s="0" t="n">
        <f aca="false">E1473+C1474</f>
        <v>0</v>
      </c>
      <c r="P1474" s="0" t="n">
        <f aca="false">IF(AND(Comments!B1472='Policy card'!$C$3,Comments!N1472="Closed"),1,0)</f>
        <v>0</v>
      </c>
      <c r="Q1474" s="0" t="n">
        <f aca="false">Q1473+P1474</f>
        <v>7</v>
      </c>
    </row>
    <row r="1475" customFormat="false" ht="15" hidden="false" customHeight="false" outlineLevel="0" collapsed="false">
      <c r="C1475" s="0" t="n">
        <f aca="false">IF(AND(Comments!B1473='Policy card'!$C$3,Comments!N1473="Open"),1,0)</f>
        <v>0</v>
      </c>
      <c r="D1475" s="0" t="str">
        <f aca="false">IF(C1475=1,E1475,IF(P1475=1,$E$2003+Q1475,""))</f>
        <v/>
      </c>
      <c r="E1475" s="0" t="n">
        <f aca="false">E1474+C1475</f>
        <v>0</v>
      </c>
      <c r="P1475" s="0" t="n">
        <f aca="false">IF(AND(Comments!B1473='Policy card'!$C$3,Comments!N1473="Closed"),1,0)</f>
        <v>0</v>
      </c>
      <c r="Q1475" s="0" t="n">
        <f aca="false">Q1474+P1475</f>
        <v>7</v>
      </c>
    </row>
    <row r="1476" customFormat="false" ht="15" hidden="false" customHeight="false" outlineLevel="0" collapsed="false">
      <c r="C1476" s="0" t="n">
        <f aca="false">IF(AND(Comments!B1474='Policy card'!$C$3,Comments!N1474="Open"),1,0)</f>
        <v>0</v>
      </c>
      <c r="D1476" s="0" t="str">
        <f aca="false">IF(C1476=1,E1476,IF(P1476=1,$E$2003+Q1476,""))</f>
        <v/>
      </c>
      <c r="E1476" s="0" t="n">
        <f aca="false">E1475+C1476</f>
        <v>0</v>
      </c>
      <c r="P1476" s="0" t="n">
        <f aca="false">IF(AND(Comments!B1474='Policy card'!$C$3,Comments!N1474="Closed"),1,0)</f>
        <v>0</v>
      </c>
      <c r="Q1476" s="0" t="n">
        <f aca="false">Q1475+P1476</f>
        <v>7</v>
      </c>
    </row>
    <row r="1477" customFormat="false" ht="15" hidden="false" customHeight="false" outlineLevel="0" collapsed="false">
      <c r="C1477" s="0" t="n">
        <f aca="false">IF(AND(Comments!B1475='Policy card'!$C$3,Comments!N1475="Open"),1,0)</f>
        <v>0</v>
      </c>
      <c r="D1477" s="0" t="str">
        <f aca="false">IF(C1477=1,E1477,IF(P1477=1,$E$2003+Q1477,""))</f>
        <v/>
      </c>
      <c r="E1477" s="0" t="n">
        <f aca="false">E1476+C1477</f>
        <v>0</v>
      </c>
      <c r="P1477" s="0" t="n">
        <f aca="false">IF(AND(Comments!B1475='Policy card'!$C$3,Comments!N1475="Closed"),1,0)</f>
        <v>0</v>
      </c>
      <c r="Q1477" s="0" t="n">
        <f aca="false">Q1476+P1477</f>
        <v>7</v>
      </c>
    </row>
    <row r="1478" customFormat="false" ht="15" hidden="false" customHeight="false" outlineLevel="0" collapsed="false">
      <c r="C1478" s="0" t="n">
        <f aca="false">IF(AND(Comments!B1476='Policy card'!$C$3,Comments!N1476="Open"),1,0)</f>
        <v>0</v>
      </c>
      <c r="D1478" s="0" t="str">
        <f aca="false">IF(C1478=1,E1478,IF(P1478=1,$E$2003+Q1478,""))</f>
        <v/>
      </c>
      <c r="E1478" s="0" t="n">
        <f aca="false">E1477+C1478</f>
        <v>0</v>
      </c>
      <c r="P1478" s="0" t="n">
        <f aca="false">IF(AND(Comments!B1476='Policy card'!$C$3,Comments!N1476="Closed"),1,0)</f>
        <v>0</v>
      </c>
      <c r="Q1478" s="0" t="n">
        <f aca="false">Q1477+P1478</f>
        <v>7</v>
      </c>
    </row>
    <row r="1479" customFormat="false" ht="15" hidden="false" customHeight="false" outlineLevel="0" collapsed="false">
      <c r="C1479" s="0" t="n">
        <f aca="false">IF(AND(Comments!B1477='Policy card'!$C$3,Comments!N1477="Open"),1,0)</f>
        <v>0</v>
      </c>
      <c r="D1479" s="0" t="str">
        <f aca="false">IF(C1479=1,E1479,IF(P1479=1,$E$2003+Q1479,""))</f>
        <v/>
      </c>
      <c r="E1479" s="0" t="n">
        <f aca="false">E1478+C1479</f>
        <v>0</v>
      </c>
      <c r="P1479" s="0" t="n">
        <f aca="false">IF(AND(Comments!B1477='Policy card'!$C$3,Comments!N1477="Closed"),1,0)</f>
        <v>0</v>
      </c>
      <c r="Q1479" s="0" t="n">
        <f aca="false">Q1478+P1479</f>
        <v>7</v>
      </c>
    </row>
    <row r="1480" customFormat="false" ht="15" hidden="false" customHeight="false" outlineLevel="0" collapsed="false">
      <c r="C1480" s="0" t="n">
        <f aca="false">IF(AND(Comments!B1478='Policy card'!$C$3,Comments!N1478="Open"),1,0)</f>
        <v>0</v>
      </c>
      <c r="D1480" s="0" t="str">
        <f aca="false">IF(C1480=1,E1480,IF(P1480=1,$E$2003+Q1480,""))</f>
        <v/>
      </c>
      <c r="E1480" s="0" t="n">
        <f aca="false">E1479+C1480</f>
        <v>0</v>
      </c>
      <c r="P1480" s="0" t="n">
        <f aca="false">IF(AND(Comments!B1478='Policy card'!$C$3,Comments!N1478="Closed"),1,0)</f>
        <v>0</v>
      </c>
      <c r="Q1480" s="0" t="n">
        <f aca="false">Q1479+P1480</f>
        <v>7</v>
      </c>
    </row>
    <row r="1481" customFormat="false" ht="15" hidden="false" customHeight="false" outlineLevel="0" collapsed="false">
      <c r="C1481" s="0" t="n">
        <f aca="false">IF(AND(Comments!B1479='Policy card'!$C$3,Comments!N1479="Open"),1,0)</f>
        <v>0</v>
      </c>
      <c r="D1481" s="0" t="str">
        <f aca="false">IF(C1481=1,E1481,IF(P1481=1,$E$2003+Q1481,""))</f>
        <v/>
      </c>
      <c r="E1481" s="0" t="n">
        <f aca="false">E1480+C1481</f>
        <v>0</v>
      </c>
      <c r="P1481" s="0" t="n">
        <f aca="false">IF(AND(Comments!B1479='Policy card'!$C$3,Comments!N1479="Closed"),1,0)</f>
        <v>0</v>
      </c>
      <c r="Q1481" s="0" t="n">
        <f aca="false">Q1480+P1481</f>
        <v>7</v>
      </c>
    </row>
    <row r="1482" customFormat="false" ht="15" hidden="false" customHeight="false" outlineLevel="0" collapsed="false">
      <c r="C1482" s="0" t="n">
        <f aca="false">IF(AND(Comments!B1480='Policy card'!$C$3,Comments!N1480="Open"),1,0)</f>
        <v>0</v>
      </c>
      <c r="D1482" s="0" t="str">
        <f aca="false">IF(C1482=1,E1482,IF(P1482=1,$E$2003+Q1482,""))</f>
        <v/>
      </c>
      <c r="E1482" s="0" t="n">
        <f aca="false">E1481+C1482</f>
        <v>0</v>
      </c>
      <c r="P1482" s="0" t="n">
        <f aca="false">IF(AND(Comments!B1480='Policy card'!$C$3,Comments!N1480="Closed"),1,0)</f>
        <v>0</v>
      </c>
      <c r="Q1482" s="0" t="n">
        <f aca="false">Q1481+P1482</f>
        <v>7</v>
      </c>
    </row>
    <row r="1483" customFormat="false" ht="15" hidden="false" customHeight="false" outlineLevel="0" collapsed="false">
      <c r="C1483" s="0" t="n">
        <f aca="false">IF(AND(Comments!B1481='Policy card'!$C$3,Comments!N1481="Open"),1,0)</f>
        <v>0</v>
      </c>
      <c r="D1483" s="0" t="str">
        <f aca="false">IF(C1483=1,E1483,IF(P1483=1,$E$2003+Q1483,""))</f>
        <v/>
      </c>
      <c r="E1483" s="0" t="n">
        <f aca="false">E1482+C1483</f>
        <v>0</v>
      </c>
      <c r="P1483" s="0" t="n">
        <f aca="false">IF(AND(Comments!B1481='Policy card'!$C$3,Comments!N1481="Closed"),1,0)</f>
        <v>0</v>
      </c>
      <c r="Q1483" s="0" t="n">
        <f aca="false">Q1482+P1483</f>
        <v>7</v>
      </c>
    </row>
    <row r="1484" customFormat="false" ht="15" hidden="false" customHeight="false" outlineLevel="0" collapsed="false">
      <c r="C1484" s="0" t="n">
        <f aca="false">IF(AND(Comments!B1482='Policy card'!$C$3,Comments!N1482="Open"),1,0)</f>
        <v>0</v>
      </c>
      <c r="D1484" s="0" t="str">
        <f aca="false">IF(C1484=1,E1484,IF(P1484=1,$E$2003+Q1484,""))</f>
        <v/>
      </c>
      <c r="E1484" s="0" t="n">
        <f aca="false">E1483+C1484</f>
        <v>0</v>
      </c>
      <c r="P1484" s="0" t="n">
        <f aca="false">IF(AND(Comments!B1482='Policy card'!$C$3,Comments!N1482="Closed"),1,0)</f>
        <v>0</v>
      </c>
      <c r="Q1484" s="0" t="n">
        <f aca="false">Q1483+P1484</f>
        <v>7</v>
      </c>
    </row>
    <row r="1485" customFormat="false" ht="15" hidden="false" customHeight="false" outlineLevel="0" collapsed="false">
      <c r="C1485" s="0" t="n">
        <f aca="false">IF(AND(Comments!B1483='Policy card'!$C$3,Comments!N1483="Open"),1,0)</f>
        <v>0</v>
      </c>
      <c r="D1485" s="0" t="str">
        <f aca="false">IF(C1485=1,E1485,IF(P1485=1,$E$2003+Q1485,""))</f>
        <v/>
      </c>
      <c r="E1485" s="0" t="n">
        <f aca="false">E1484+C1485</f>
        <v>0</v>
      </c>
      <c r="P1485" s="0" t="n">
        <f aca="false">IF(AND(Comments!B1483='Policy card'!$C$3,Comments!N1483="Closed"),1,0)</f>
        <v>0</v>
      </c>
      <c r="Q1485" s="0" t="n">
        <f aca="false">Q1484+P1485</f>
        <v>7</v>
      </c>
    </row>
    <row r="1486" customFormat="false" ht="15" hidden="false" customHeight="false" outlineLevel="0" collapsed="false">
      <c r="C1486" s="0" t="n">
        <f aca="false">IF(AND(Comments!B1484='Policy card'!$C$3,Comments!N1484="Open"),1,0)</f>
        <v>0</v>
      </c>
      <c r="D1486" s="0" t="str">
        <f aca="false">IF(C1486=1,E1486,IF(P1486=1,$E$2003+Q1486,""))</f>
        <v/>
      </c>
      <c r="E1486" s="0" t="n">
        <f aca="false">E1485+C1486</f>
        <v>0</v>
      </c>
      <c r="P1486" s="0" t="n">
        <f aca="false">IF(AND(Comments!B1484='Policy card'!$C$3,Comments!N1484="Closed"),1,0)</f>
        <v>0</v>
      </c>
      <c r="Q1486" s="0" t="n">
        <f aca="false">Q1485+P1486</f>
        <v>7</v>
      </c>
    </row>
    <row r="1487" customFormat="false" ht="15" hidden="false" customHeight="false" outlineLevel="0" collapsed="false">
      <c r="C1487" s="0" t="n">
        <f aca="false">IF(AND(Comments!B1485='Policy card'!$C$3,Comments!N1485="Open"),1,0)</f>
        <v>0</v>
      </c>
      <c r="D1487" s="0" t="str">
        <f aca="false">IF(C1487=1,E1487,IF(P1487=1,$E$2003+Q1487,""))</f>
        <v/>
      </c>
      <c r="E1487" s="0" t="n">
        <f aca="false">E1486+C1487</f>
        <v>0</v>
      </c>
      <c r="P1487" s="0" t="n">
        <f aca="false">IF(AND(Comments!B1485='Policy card'!$C$3,Comments!N1485="Closed"),1,0)</f>
        <v>0</v>
      </c>
      <c r="Q1487" s="0" t="n">
        <f aca="false">Q1486+P1487</f>
        <v>7</v>
      </c>
    </row>
    <row r="1488" customFormat="false" ht="15" hidden="false" customHeight="false" outlineLevel="0" collapsed="false">
      <c r="C1488" s="0" t="n">
        <f aca="false">IF(AND(Comments!B1486='Policy card'!$C$3,Comments!N1486="Open"),1,0)</f>
        <v>0</v>
      </c>
      <c r="D1488" s="0" t="str">
        <f aca="false">IF(C1488=1,E1488,IF(P1488=1,$E$2003+Q1488,""))</f>
        <v/>
      </c>
      <c r="E1488" s="0" t="n">
        <f aca="false">E1487+C1488</f>
        <v>0</v>
      </c>
      <c r="P1488" s="0" t="n">
        <f aca="false">IF(AND(Comments!B1486='Policy card'!$C$3,Comments!N1486="Closed"),1,0)</f>
        <v>0</v>
      </c>
      <c r="Q1488" s="0" t="n">
        <f aca="false">Q1487+P1488</f>
        <v>7</v>
      </c>
    </row>
    <row r="1489" customFormat="false" ht="15" hidden="false" customHeight="false" outlineLevel="0" collapsed="false">
      <c r="C1489" s="0" t="n">
        <f aca="false">IF(AND(Comments!B1487='Policy card'!$C$3,Comments!N1487="Open"),1,0)</f>
        <v>0</v>
      </c>
      <c r="D1489" s="0" t="str">
        <f aca="false">IF(C1489=1,E1489,IF(P1489=1,$E$2003+Q1489,""))</f>
        <v/>
      </c>
      <c r="E1489" s="0" t="n">
        <f aca="false">E1488+C1489</f>
        <v>0</v>
      </c>
      <c r="P1489" s="0" t="n">
        <f aca="false">IF(AND(Comments!B1487='Policy card'!$C$3,Comments!N1487="Closed"),1,0)</f>
        <v>0</v>
      </c>
      <c r="Q1489" s="0" t="n">
        <f aca="false">Q1488+P1489</f>
        <v>7</v>
      </c>
    </row>
    <row r="1490" customFormat="false" ht="15" hidden="false" customHeight="false" outlineLevel="0" collapsed="false">
      <c r="C1490" s="0" t="n">
        <f aca="false">IF(AND(Comments!B1488='Policy card'!$C$3,Comments!N1488="Open"),1,0)</f>
        <v>0</v>
      </c>
      <c r="D1490" s="0" t="str">
        <f aca="false">IF(C1490=1,E1490,IF(P1490=1,$E$2003+Q1490,""))</f>
        <v/>
      </c>
      <c r="E1490" s="0" t="n">
        <f aca="false">E1489+C1490</f>
        <v>0</v>
      </c>
      <c r="P1490" s="0" t="n">
        <f aca="false">IF(AND(Comments!B1488='Policy card'!$C$3,Comments!N1488="Closed"),1,0)</f>
        <v>0</v>
      </c>
      <c r="Q1490" s="0" t="n">
        <f aca="false">Q1489+P1490</f>
        <v>7</v>
      </c>
    </row>
    <row r="1491" customFormat="false" ht="15" hidden="false" customHeight="false" outlineLevel="0" collapsed="false">
      <c r="C1491" s="0" t="n">
        <f aca="false">IF(AND(Comments!B1489='Policy card'!$C$3,Comments!N1489="Open"),1,0)</f>
        <v>0</v>
      </c>
      <c r="D1491" s="0" t="str">
        <f aca="false">IF(C1491=1,E1491,IF(P1491=1,$E$2003+Q1491,""))</f>
        <v/>
      </c>
      <c r="E1491" s="0" t="n">
        <f aca="false">E1490+C1491</f>
        <v>0</v>
      </c>
      <c r="P1491" s="0" t="n">
        <f aca="false">IF(AND(Comments!B1489='Policy card'!$C$3,Comments!N1489="Closed"),1,0)</f>
        <v>0</v>
      </c>
      <c r="Q1491" s="0" t="n">
        <f aca="false">Q1490+P1491</f>
        <v>7</v>
      </c>
    </row>
    <row r="1492" customFormat="false" ht="15" hidden="false" customHeight="false" outlineLevel="0" collapsed="false">
      <c r="C1492" s="0" t="n">
        <f aca="false">IF(AND(Comments!B1490='Policy card'!$C$3,Comments!N1490="Open"),1,0)</f>
        <v>0</v>
      </c>
      <c r="D1492" s="0" t="str">
        <f aca="false">IF(C1492=1,E1492,IF(P1492=1,$E$2003+Q1492,""))</f>
        <v/>
      </c>
      <c r="E1492" s="0" t="n">
        <f aca="false">E1491+C1492</f>
        <v>0</v>
      </c>
      <c r="P1492" s="0" t="n">
        <f aca="false">IF(AND(Comments!B1490='Policy card'!$C$3,Comments!N1490="Closed"),1,0)</f>
        <v>0</v>
      </c>
      <c r="Q1492" s="0" t="n">
        <f aca="false">Q1491+P1492</f>
        <v>7</v>
      </c>
    </row>
    <row r="1493" customFormat="false" ht="15" hidden="false" customHeight="false" outlineLevel="0" collapsed="false">
      <c r="C1493" s="0" t="n">
        <f aca="false">IF(AND(Comments!B1491='Policy card'!$C$3,Comments!N1491="Open"),1,0)</f>
        <v>0</v>
      </c>
      <c r="D1493" s="0" t="str">
        <f aca="false">IF(C1493=1,E1493,IF(P1493=1,$E$2003+Q1493,""))</f>
        <v/>
      </c>
      <c r="E1493" s="0" t="n">
        <f aca="false">E1492+C1493</f>
        <v>0</v>
      </c>
      <c r="P1493" s="0" t="n">
        <f aca="false">IF(AND(Comments!B1491='Policy card'!$C$3,Comments!N1491="Closed"),1,0)</f>
        <v>0</v>
      </c>
      <c r="Q1493" s="0" t="n">
        <f aca="false">Q1492+P1493</f>
        <v>7</v>
      </c>
    </row>
    <row r="1494" customFormat="false" ht="15" hidden="false" customHeight="false" outlineLevel="0" collapsed="false">
      <c r="C1494" s="0" t="n">
        <f aca="false">IF(AND(Comments!B1492='Policy card'!$C$3,Comments!N1492="Open"),1,0)</f>
        <v>0</v>
      </c>
      <c r="D1494" s="0" t="str">
        <f aca="false">IF(C1494=1,E1494,IF(P1494=1,$E$2003+Q1494,""))</f>
        <v/>
      </c>
      <c r="E1494" s="0" t="n">
        <f aca="false">E1493+C1494</f>
        <v>0</v>
      </c>
      <c r="P1494" s="0" t="n">
        <f aca="false">IF(AND(Comments!B1492='Policy card'!$C$3,Comments!N1492="Closed"),1,0)</f>
        <v>0</v>
      </c>
      <c r="Q1494" s="0" t="n">
        <f aca="false">Q1493+P1494</f>
        <v>7</v>
      </c>
    </row>
    <row r="1495" customFormat="false" ht="15" hidden="false" customHeight="false" outlineLevel="0" collapsed="false">
      <c r="C1495" s="0" t="n">
        <f aca="false">IF(AND(Comments!B1493='Policy card'!$C$3,Comments!N1493="Open"),1,0)</f>
        <v>0</v>
      </c>
      <c r="D1495" s="0" t="str">
        <f aca="false">IF(C1495=1,E1495,IF(P1495=1,$E$2003+Q1495,""))</f>
        <v/>
      </c>
      <c r="E1495" s="0" t="n">
        <f aca="false">E1494+C1495</f>
        <v>0</v>
      </c>
      <c r="P1495" s="0" t="n">
        <f aca="false">IF(AND(Comments!B1493='Policy card'!$C$3,Comments!N1493="Closed"),1,0)</f>
        <v>0</v>
      </c>
      <c r="Q1495" s="0" t="n">
        <f aca="false">Q1494+P1495</f>
        <v>7</v>
      </c>
    </row>
    <row r="1496" customFormat="false" ht="15" hidden="false" customHeight="false" outlineLevel="0" collapsed="false">
      <c r="C1496" s="0" t="n">
        <f aca="false">IF(AND(Comments!B1494='Policy card'!$C$3,Comments!N1494="Open"),1,0)</f>
        <v>0</v>
      </c>
      <c r="D1496" s="0" t="str">
        <f aca="false">IF(C1496=1,E1496,IF(P1496=1,$E$2003+Q1496,""))</f>
        <v/>
      </c>
      <c r="E1496" s="0" t="n">
        <f aca="false">E1495+C1496</f>
        <v>0</v>
      </c>
      <c r="P1496" s="0" t="n">
        <f aca="false">IF(AND(Comments!B1494='Policy card'!$C$3,Comments!N1494="Closed"),1,0)</f>
        <v>0</v>
      </c>
      <c r="Q1496" s="0" t="n">
        <f aca="false">Q1495+P1496</f>
        <v>7</v>
      </c>
    </row>
    <row r="1497" customFormat="false" ht="15" hidden="false" customHeight="false" outlineLevel="0" collapsed="false">
      <c r="C1497" s="0" t="n">
        <f aca="false">IF(AND(Comments!B1495='Policy card'!$C$3,Comments!N1495="Open"),1,0)</f>
        <v>0</v>
      </c>
      <c r="D1497" s="0" t="str">
        <f aca="false">IF(C1497=1,E1497,IF(P1497=1,$E$2003+Q1497,""))</f>
        <v/>
      </c>
      <c r="E1497" s="0" t="n">
        <f aca="false">E1496+C1497</f>
        <v>0</v>
      </c>
      <c r="P1497" s="0" t="n">
        <f aca="false">IF(AND(Comments!B1495='Policy card'!$C$3,Comments!N1495="Closed"),1,0)</f>
        <v>0</v>
      </c>
      <c r="Q1497" s="0" t="n">
        <f aca="false">Q1496+P1497</f>
        <v>7</v>
      </c>
    </row>
    <row r="1498" customFormat="false" ht="15" hidden="false" customHeight="false" outlineLevel="0" collapsed="false">
      <c r="C1498" s="0" t="n">
        <f aca="false">IF(AND(Comments!B1496='Policy card'!$C$3,Comments!N1496="Open"),1,0)</f>
        <v>0</v>
      </c>
      <c r="D1498" s="0" t="str">
        <f aca="false">IF(C1498=1,E1498,IF(P1498=1,$E$2003+Q1498,""))</f>
        <v/>
      </c>
      <c r="E1498" s="0" t="n">
        <f aca="false">E1497+C1498</f>
        <v>0</v>
      </c>
      <c r="P1498" s="0" t="n">
        <f aca="false">IF(AND(Comments!B1496='Policy card'!$C$3,Comments!N1496="Closed"),1,0)</f>
        <v>0</v>
      </c>
      <c r="Q1498" s="0" t="n">
        <f aca="false">Q1497+P1498</f>
        <v>7</v>
      </c>
    </row>
    <row r="1499" customFormat="false" ht="15" hidden="false" customHeight="false" outlineLevel="0" collapsed="false">
      <c r="C1499" s="0" t="n">
        <f aca="false">IF(AND(Comments!B1497='Policy card'!$C$3,Comments!N1497="Open"),1,0)</f>
        <v>0</v>
      </c>
      <c r="D1499" s="0" t="str">
        <f aca="false">IF(C1499=1,E1499,IF(P1499=1,$E$2003+Q1499,""))</f>
        <v/>
      </c>
      <c r="E1499" s="0" t="n">
        <f aca="false">E1498+C1499</f>
        <v>0</v>
      </c>
      <c r="P1499" s="0" t="n">
        <f aca="false">IF(AND(Comments!B1497='Policy card'!$C$3,Comments!N1497="Closed"),1,0)</f>
        <v>0</v>
      </c>
      <c r="Q1499" s="0" t="n">
        <f aca="false">Q1498+P1499</f>
        <v>7</v>
      </c>
    </row>
    <row r="1500" customFormat="false" ht="15" hidden="false" customHeight="false" outlineLevel="0" collapsed="false">
      <c r="C1500" s="0" t="n">
        <f aca="false">IF(AND(Comments!B1498='Policy card'!$C$3,Comments!N1498="Open"),1,0)</f>
        <v>0</v>
      </c>
      <c r="D1500" s="0" t="str">
        <f aca="false">IF(C1500=1,E1500,IF(P1500=1,$E$2003+Q1500,""))</f>
        <v/>
      </c>
      <c r="E1500" s="0" t="n">
        <f aca="false">E1499+C1500</f>
        <v>0</v>
      </c>
      <c r="P1500" s="0" t="n">
        <f aca="false">IF(AND(Comments!B1498='Policy card'!$C$3,Comments!N1498="Closed"),1,0)</f>
        <v>0</v>
      </c>
      <c r="Q1500" s="0" t="n">
        <f aca="false">Q1499+P1500</f>
        <v>7</v>
      </c>
    </row>
    <row r="1501" customFormat="false" ht="15" hidden="false" customHeight="false" outlineLevel="0" collapsed="false">
      <c r="C1501" s="0" t="n">
        <f aca="false">IF(AND(Comments!B1499='Policy card'!$C$3,Comments!N1499="Open"),1,0)</f>
        <v>0</v>
      </c>
      <c r="D1501" s="0" t="str">
        <f aca="false">IF(C1501=1,E1501,IF(P1501=1,$E$2003+Q1501,""))</f>
        <v/>
      </c>
      <c r="E1501" s="0" t="n">
        <f aca="false">E1500+C1501</f>
        <v>0</v>
      </c>
      <c r="P1501" s="0" t="n">
        <f aca="false">IF(AND(Comments!B1499='Policy card'!$C$3,Comments!N1499="Closed"),1,0)</f>
        <v>0</v>
      </c>
      <c r="Q1501" s="0" t="n">
        <f aca="false">Q1500+P1501</f>
        <v>7</v>
      </c>
    </row>
    <row r="1502" customFormat="false" ht="15" hidden="false" customHeight="false" outlineLevel="0" collapsed="false">
      <c r="C1502" s="0" t="n">
        <f aca="false">IF(AND(Comments!B1500='Policy card'!$C$3,Comments!N1500="Open"),1,0)</f>
        <v>0</v>
      </c>
      <c r="D1502" s="0" t="str">
        <f aca="false">IF(C1502=1,E1502,IF(P1502=1,$E$2003+Q1502,""))</f>
        <v/>
      </c>
      <c r="E1502" s="0" t="n">
        <f aca="false">E1501+C1502</f>
        <v>0</v>
      </c>
      <c r="P1502" s="0" t="n">
        <f aca="false">IF(AND(Comments!B1500='Policy card'!$C$3,Comments!N1500="Closed"),1,0)</f>
        <v>0</v>
      </c>
      <c r="Q1502" s="0" t="n">
        <f aca="false">Q1501+P1502</f>
        <v>7</v>
      </c>
    </row>
    <row r="1503" customFormat="false" ht="15" hidden="false" customHeight="false" outlineLevel="0" collapsed="false">
      <c r="C1503" s="0" t="n">
        <f aca="false">IF(AND(Comments!B1501='Policy card'!$C$3,Comments!N1501="Open"),1,0)</f>
        <v>0</v>
      </c>
      <c r="D1503" s="0" t="str">
        <f aca="false">IF(C1503=1,E1503,IF(P1503=1,$E$2003+Q1503,""))</f>
        <v/>
      </c>
      <c r="E1503" s="0" t="n">
        <f aca="false">E1502+C1503</f>
        <v>0</v>
      </c>
      <c r="P1503" s="0" t="n">
        <f aca="false">IF(AND(Comments!B1501='Policy card'!$C$3,Comments!N1501="Closed"),1,0)</f>
        <v>0</v>
      </c>
      <c r="Q1503" s="0" t="n">
        <f aca="false">Q1502+P1503</f>
        <v>7</v>
      </c>
    </row>
    <row r="1504" customFormat="false" ht="15" hidden="false" customHeight="false" outlineLevel="0" collapsed="false">
      <c r="C1504" s="0" t="n">
        <f aca="false">IF(AND(Comments!B1502='Policy card'!$C$3,Comments!N1502="Open"),1,0)</f>
        <v>0</v>
      </c>
      <c r="D1504" s="0" t="str">
        <f aca="false">IF(C1504=1,E1504,IF(P1504=1,$E$2003+Q1504,""))</f>
        <v/>
      </c>
      <c r="E1504" s="0" t="n">
        <f aca="false">E1503+C1504</f>
        <v>0</v>
      </c>
      <c r="P1504" s="0" t="n">
        <f aca="false">IF(AND(Comments!B1502='Policy card'!$C$3,Comments!N1502="Closed"),1,0)</f>
        <v>0</v>
      </c>
      <c r="Q1504" s="0" t="n">
        <f aca="false">Q1503+P1504</f>
        <v>7</v>
      </c>
    </row>
    <row r="1505" customFormat="false" ht="15" hidden="false" customHeight="false" outlineLevel="0" collapsed="false">
      <c r="C1505" s="0" t="n">
        <f aca="false">IF(AND(Comments!B1503='Policy card'!$C$3,Comments!N1503="Open"),1,0)</f>
        <v>0</v>
      </c>
      <c r="D1505" s="0" t="str">
        <f aca="false">IF(C1505=1,E1505,IF(P1505=1,$E$2003+Q1505,""))</f>
        <v/>
      </c>
      <c r="E1505" s="0" t="n">
        <f aca="false">E1504+C1505</f>
        <v>0</v>
      </c>
      <c r="P1505" s="0" t="n">
        <f aca="false">IF(AND(Comments!B1503='Policy card'!$C$3,Comments!N1503="Closed"),1,0)</f>
        <v>0</v>
      </c>
      <c r="Q1505" s="0" t="n">
        <f aca="false">Q1504+P1505</f>
        <v>7</v>
      </c>
    </row>
    <row r="1506" customFormat="false" ht="15" hidden="false" customHeight="false" outlineLevel="0" collapsed="false">
      <c r="C1506" s="0" t="n">
        <f aca="false">IF(AND(Comments!B1504='Policy card'!$C$3,Comments!N1504="Open"),1,0)</f>
        <v>0</v>
      </c>
      <c r="D1506" s="0" t="str">
        <f aca="false">IF(C1506=1,E1506,IF(P1506=1,$E$2003+Q1506,""))</f>
        <v/>
      </c>
      <c r="E1506" s="0" t="n">
        <f aca="false">E1505+C1506</f>
        <v>0</v>
      </c>
      <c r="P1506" s="0" t="n">
        <f aca="false">IF(AND(Comments!B1504='Policy card'!$C$3,Comments!N1504="Closed"),1,0)</f>
        <v>0</v>
      </c>
      <c r="Q1506" s="0" t="n">
        <f aca="false">Q1505+P1506</f>
        <v>7</v>
      </c>
    </row>
    <row r="1507" customFormat="false" ht="15" hidden="false" customHeight="false" outlineLevel="0" collapsed="false">
      <c r="C1507" s="0" t="n">
        <f aca="false">IF(AND(Comments!B1505='Policy card'!$C$3,Comments!N1505="Open"),1,0)</f>
        <v>0</v>
      </c>
      <c r="D1507" s="0" t="str">
        <f aca="false">IF(C1507=1,E1507,IF(P1507=1,$E$2003+Q1507,""))</f>
        <v/>
      </c>
      <c r="E1507" s="0" t="n">
        <f aca="false">E1506+C1507</f>
        <v>0</v>
      </c>
      <c r="P1507" s="0" t="n">
        <f aca="false">IF(AND(Comments!B1505='Policy card'!$C$3,Comments!N1505="Closed"),1,0)</f>
        <v>0</v>
      </c>
      <c r="Q1507" s="0" t="n">
        <f aca="false">Q1506+P1507</f>
        <v>7</v>
      </c>
    </row>
    <row r="1508" customFormat="false" ht="15" hidden="false" customHeight="false" outlineLevel="0" collapsed="false">
      <c r="C1508" s="0" t="n">
        <f aca="false">IF(AND(Comments!B1506='Policy card'!$C$3,Comments!N1506="Open"),1,0)</f>
        <v>0</v>
      </c>
      <c r="D1508" s="0" t="str">
        <f aca="false">IF(C1508=1,E1508,IF(P1508=1,$E$2003+Q1508,""))</f>
        <v/>
      </c>
      <c r="E1508" s="0" t="n">
        <f aca="false">E1507+C1508</f>
        <v>0</v>
      </c>
      <c r="P1508" s="0" t="n">
        <f aca="false">IF(AND(Comments!B1506='Policy card'!$C$3,Comments!N1506="Closed"),1,0)</f>
        <v>0</v>
      </c>
      <c r="Q1508" s="0" t="n">
        <f aca="false">Q1507+P1508</f>
        <v>7</v>
      </c>
    </row>
    <row r="1509" customFormat="false" ht="15" hidden="false" customHeight="false" outlineLevel="0" collapsed="false">
      <c r="C1509" s="0" t="n">
        <f aca="false">IF(AND(Comments!B1507='Policy card'!$C$3,Comments!N1507="Open"),1,0)</f>
        <v>0</v>
      </c>
      <c r="D1509" s="0" t="str">
        <f aca="false">IF(C1509=1,E1509,IF(P1509=1,$E$2003+Q1509,""))</f>
        <v/>
      </c>
      <c r="E1509" s="0" t="n">
        <f aca="false">E1508+C1509</f>
        <v>0</v>
      </c>
      <c r="P1509" s="0" t="n">
        <f aca="false">IF(AND(Comments!B1507='Policy card'!$C$3,Comments!N1507="Closed"),1,0)</f>
        <v>0</v>
      </c>
      <c r="Q1509" s="0" t="n">
        <f aca="false">Q1508+P1509</f>
        <v>7</v>
      </c>
    </row>
    <row r="1510" customFormat="false" ht="15" hidden="false" customHeight="false" outlineLevel="0" collapsed="false">
      <c r="C1510" s="0" t="n">
        <f aca="false">IF(AND(Comments!B1508='Policy card'!$C$3,Comments!N1508="Open"),1,0)</f>
        <v>0</v>
      </c>
      <c r="D1510" s="0" t="str">
        <f aca="false">IF(C1510=1,E1510,IF(P1510=1,$E$2003+Q1510,""))</f>
        <v/>
      </c>
      <c r="E1510" s="0" t="n">
        <f aca="false">E1509+C1510</f>
        <v>0</v>
      </c>
      <c r="P1510" s="0" t="n">
        <f aca="false">IF(AND(Comments!B1508='Policy card'!$C$3,Comments!N1508="Closed"),1,0)</f>
        <v>0</v>
      </c>
      <c r="Q1510" s="0" t="n">
        <f aca="false">Q1509+P1510</f>
        <v>7</v>
      </c>
    </row>
    <row r="1511" customFormat="false" ht="15" hidden="false" customHeight="false" outlineLevel="0" collapsed="false">
      <c r="C1511" s="0" t="n">
        <f aca="false">IF(AND(Comments!B1509='Policy card'!$C$3,Comments!N1509="Open"),1,0)</f>
        <v>0</v>
      </c>
      <c r="D1511" s="0" t="str">
        <f aca="false">IF(C1511=1,E1511,IF(P1511=1,$E$2003+Q1511,""))</f>
        <v/>
      </c>
      <c r="E1511" s="0" t="n">
        <f aca="false">E1510+C1511</f>
        <v>0</v>
      </c>
      <c r="P1511" s="0" t="n">
        <f aca="false">IF(AND(Comments!B1509='Policy card'!$C$3,Comments!N1509="Closed"),1,0)</f>
        <v>0</v>
      </c>
      <c r="Q1511" s="0" t="n">
        <f aca="false">Q1510+P1511</f>
        <v>7</v>
      </c>
    </row>
    <row r="1512" customFormat="false" ht="15" hidden="false" customHeight="false" outlineLevel="0" collapsed="false">
      <c r="C1512" s="0" t="n">
        <f aca="false">IF(AND(Comments!B1510='Policy card'!$C$3,Comments!N1510="Open"),1,0)</f>
        <v>0</v>
      </c>
      <c r="D1512" s="0" t="str">
        <f aca="false">IF(C1512=1,E1512,IF(P1512=1,$E$2003+Q1512,""))</f>
        <v/>
      </c>
      <c r="E1512" s="0" t="n">
        <f aca="false">E1511+C1512</f>
        <v>0</v>
      </c>
      <c r="P1512" s="0" t="n">
        <f aca="false">IF(AND(Comments!B1510='Policy card'!$C$3,Comments!N1510="Closed"),1,0)</f>
        <v>0</v>
      </c>
      <c r="Q1512" s="0" t="n">
        <f aca="false">Q1511+P1512</f>
        <v>7</v>
      </c>
    </row>
    <row r="1513" customFormat="false" ht="15" hidden="false" customHeight="false" outlineLevel="0" collapsed="false">
      <c r="C1513" s="0" t="n">
        <f aca="false">IF(AND(Comments!B1511='Policy card'!$C$3,Comments!N1511="Open"),1,0)</f>
        <v>0</v>
      </c>
      <c r="D1513" s="0" t="str">
        <f aca="false">IF(C1513=1,E1513,IF(P1513=1,$E$2003+Q1513,""))</f>
        <v/>
      </c>
      <c r="E1513" s="0" t="n">
        <f aca="false">E1512+C1513</f>
        <v>0</v>
      </c>
      <c r="P1513" s="0" t="n">
        <f aca="false">IF(AND(Comments!B1511='Policy card'!$C$3,Comments!N1511="Closed"),1,0)</f>
        <v>0</v>
      </c>
      <c r="Q1513" s="0" t="n">
        <f aca="false">Q1512+P1513</f>
        <v>7</v>
      </c>
    </row>
    <row r="1514" customFormat="false" ht="15" hidden="false" customHeight="false" outlineLevel="0" collapsed="false">
      <c r="C1514" s="0" t="n">
        <f aca="false">IF(AND(Comments!B1512='Policy card'!$C$3,Comments!N1512="Open"),1,0)</f>
        <v>0</v>
      </c>
      <c r="D1514" s="0" t="str">
        <f aca="false">IF(C1514=1,E1514,IF(P1514=1,$E$2003+Q1514,""))</f>
        <v/>
      </c>
      <c r="E1514" s="0" t="n">
        <f aca="false">E1513+C1514</f>
        <v>0</v>
      </c>
      <c r="P1514" s="0" t="n">
        <f aca="false">IF(AND(Comments!B1512='Policy card'!$C$3,Comments!N1512="Closed"),1,0)</f>
        <v>0</v>
      </c>
      <c r="Q1514" s="0" t="n">
        <f aca="false">Q1513+P1514</f>
        <v>7</v>
      </c>
    </row>
    <row r="1515" customFormat="false" ht="15" hidden="false" customHeight="false" outlineLevel="0" collapsed="false">
      <c r="C1515" s="0" t="n">
        <f aca="false">IF(AND(Comments!B1513='Policy card'!$C$3,Comments!N1513="Open"),1,0)</f>
        <v>0</v>
      </c>
      <c r="D1515" s="0" t="str">
        <f aca="false">IF(C1515=1,E1515,IF(P1515=1,$E$2003+Q1515,""))</f>
        <v/>
      </c>
      <c r="E1515" s="0" t="n">
        <f aca="false">E1514+C1515</f>
        <v>0</v>
      </c>
      <c r="P1515" s="0" t="n">
        <f aca="false">IF(AND(Comments!B1513='Policy card'!$C$3,Comments!N1513="Closed"),1,0)</f>
        <v>0</v>
      </c>
      <c r="Q1515" s="0" t="n">
        <f aca="false">Q1514+P1515</f>
        <v>7</v>
      </c>
    </row>
    <row r="1516" customFormat="false" ht="15" hidden="false" customHeight="false" outlineLevel="0" collapsed="false">
      <c r="C1516" s="0" t="n">
        <f aca="false">IF(AND(Comments!B1514='Policy card'!$C$3,Comments!N1514="Open"),1,0)</f>
        <v>0</v>
      </c>
      <c r="D1516" s="0" t="str">
        <f aca="false">IF(C1516=1,E1516,IF(P1516=1,$E$2003+Q1516,""))</f>
        <v/>
      </c>
      <c r="E1516" s="0" t="n">
        <f aca="false">E1515+C1516</f>
        <v>0</v>
      </c>
      <c r="P1516" s="0" t="n">
        <f aca="false">IF(AND(Comments!B1514='Policy card'!$C$3,Comments!N1514="Closed"),1,0)</f>
        <v>0</v>
      </c>
      <c r="Q1516" s="0" t="n">
        <f aca="false">Q1515+P1516</f>
        <v>7</v>
      </c>
    </row>
    <row r="1517" customFormat="false" ht="15" hidden="false" customHeight="false" outlineLevel="0" collapsed="false">
      <c r="C1517" s="0" t="n">
        <f aca="false">IF(AND(Comments!B1515='Policy card'!$C$3,Comments!N1515="Open"),1,0)</f>
        <v>0</v>
      </c>
      <c r="D1517" s="0" t="str">
        <f aca="false">IF(C1517=1,E1517,IF(P1517=1,$E$2003+Q1517,""))</f>
        <v/>
      </c>
      <c r="E1517" s="0" t="n">
        <f aca="false">E1516+C1517</f>
        <v>0</v>
      </c>
      <c r="P1517" s="0" t="n">
        <f aca="false">IF(AND(Comments!B1515='Policy card'!$C$3,Comments!N1515="Closed"),1,0)</f>
        <v>0</v>
      </c>
      <c r="Q1517" s="0" t="n">
        <f aca="false">Q1516+P1517</f>
        <v>7</v>
      </c>
    </row>
    <row r="1518" customFormat="false" ht="15" hidden="false" customHeight="false" outlineLevel="0" collapsed="false">
      <c r="C1518" s="0" t="n">
        <f aca="false">IF(AND(Comments!B1516='Policy card'!$C$3,Comments!N1516="Open"),1,0)</f>
        <v>0</v>
      </c>
      <c r="D1518" s="0" t="str">
        <f aca="false">IF(C1518=1,E1518,IF(P1518=1,$E$2003+Q1518,""))</f>
        <v/>
      </c>
      <c r="E1518" s="0" t="n">
        <f aca="false">E1517+C1518</f>
        <v>0</v>
      </c>
      <c r="P1518" s="0" t="n">
        <f aca="false">IF(AND(Comments!B1516='Policy card'!$C$3,Comments!N1516="Closed"),1,0)</f>
        <v>0</v>
      </c>
      <c r="Q1518" s="0" t="n">
        <f aca="false">Q1517+P1518</f>
        <v>7</v>
      </c>
    </row>
    <row r="1519" customFormat="false" ht="15" hidden="false" customHeight="false" outlineLevel="0" collapsed="false">
      <c r="C1519" s="0" t="n">
        <f aca="false">IF(AND(Comments!B1517='Policy card'!$C$3,Comments!N1517="Open"),1,0)</f>
        <v>0</v>
      </c>
      <c r="D1519" s="0" t="str">
        <f aca="false">IF(C1519=1,E1519,IF(P1519=1,$E$2003+Q1519,""))</f>
        <v/>
      </c>
      <c r="E1519" s="0" t="n">
        <f aca="false">E1518+C1519</f>
        <v>0</v>
      </c>
      <c r="P1519" s="0" t="n">
        <f aca="false">IF(AND(Comments!B1517='Policy card'!$C$3,Comments!N1517="Closed"),1,0)</f>
        <v>0</v>
      </c>
      <c r="Q1519" s="0" t="n">
        <f aca="false">Q1518+P1519</f>
        <v>7</v>
      </c>
    </row>
    <row r="1520" customFormat="false" ht="15" hidden="false" customHeight="false" outlineLevel="0" collapsed="false">
      <c r="C1520" s="0" t="n">
        <f aca="false">IF(AND(Comments!B1518='Policy card'!$C$3,Comments!N1518="Open"),1,0)</f>
        <v>0</v>
      </c>
      <c r="D1520" s="0" t="str">
        <f aca="false">IF(C1520=1,E1520,IF(P1520=1,$E$2003+Q1520,""))</f>
        <v/>
      </c>
      <c r="E1520" s="0" t="n">
        <f aca="false">E1519+C1520</f>
        <v>0</v>
      </c>
      <c r="P1520" s="0" t="n">
        <f aca="false">IF(AND(Comments!B1518='Policy card'!$C$3,Comments!N1518="Closed"),1,0)</f>
        <v>0</v>
      </c>
      <c r="Q1520" s="0" t="n">
        <f aca="false">Q1519+P1520</f>
        <v>7</v>
      </c>
    </row>
    <row r="1521" customFormat="false" ht="15" hidden="false" customHeight="false" outlineLevel="0" collapsed="false">
      <c r="C1521" s="0" t="n">
        <f aca="false">IF(AND(Comments!B1519='Policy card'!$C$3,Comments!N1519="Open"),1,0)</f>
        <v>0</v>
      </c>
      <c r="D1521" s="0" t="str">
        <f aca="false">IF(C1521=1,E1521,IF(P1521=1,$E$2003+Q1521,""))</f>
        <v/>
      </c>
      <c r="E1521" s="0" t="n">
        <f aca="false">E1520+C1521</f>
        <v>0</v>
      </c>
      <c r="P1521" s="0" t="n">
        <f aca="false">IF(AND(Comments!B1519='Policy card'!$C$3,Comments!N1519="Closed"),1,0)</f>
        <v>0</v>
      </c>
      <c r="Q1521" s="0" t="n">
        <f aca="false">Q1520+P1521</f>
        <v>7</v>
      </c>
    </row>
    <row r="1522" customFormat="false" ht="15" hidden="false" customHeight="false" outlineLevel="0" collapsed="false">
      <c r="C1522" s="0" t="n">
        <f aca="false">IF(AND(Comments!B1520='Policy card'!$C$3,Comments!N1520="Open"),1,0)</f>
        <v>0</v>
      </c>
      <c r="D1522" s="0" t="str">
        <f aca="false">IF(C1522=1,E1522,IF(P1522=1,$E$2003+Q1522,""))</f>
        <v/>
      </c>
      <c r="E1522" s="0" t="n">
        <f aca="false">E1521+C1522</f>
        <v>0</v>
      </c>
      <c r="P1522" s="0" t="n">
        <f aca="false">IF(AND(Comments!B1520='Policy card'!$C$3,Comments!N1520="Closed"),1,0)</f>
        <v>0</v>
      </c>
      <c r="Q1522" s="0" t="n">
        <f aca="false">Q1521+P1522</f>
        <v>7</v>
      </c>
    </row>
    <row r="1523" customFormat="false" ht="15" hidden="false" customHeight="false" outlineLevel="0" collapsed="false">
      <c r="C1523" s="0" t="n">
        <f aca="false">IF(AND(Comments!B1521='Policy card'!$C$3,Comments!N1521="Open"),1,0)</f>
        <v>0</v>
      </c>
      <c r="D1523" s="0" t="str">
        <f aca="false">IF(C1523=1,E1523,IF(P1523=1,$E$2003+Q1523,""))</f>
        <v/>
      </c>
      <c r="E1523" s="0" t="n">
        <f aca="false">E1522+C1523</f>
        <v>0</v>
      </c>
      <c r="P1523" s="0" t="n">
        <f aca="false">IF(AND(Comments!B1521='Policy card'!$C$3,Comments!N1521="Closed"),1,0)</f>
        <v>0</v>
      </c>
      <c r="Q1523" s="0" t="n">
        <f aca="false">Q1522+P1523</f>
        <v>7</v>
      </c>
    </row>
    <row r="1524" customFormat="false" ht="15" hidden="false" customHeight="false" outlineLevel="0" collapsed="false">
      <c r="C1524" s="0" t="n">
        <f aca="false">IF(AND(Comments!B1522='Policy card'!$C$3,Comments!N1522="Open"),1,0)</f>
        <v>0</v>
      </c>
      <c r="D1524" s="0" t="str">
        <f aca="false">IF(C1524=1,E1524,IF(P1524=1,$E$2003+Q1524,""))</f>
        <v/>
      </c>
      <c r="E1524" s="0" t="n">
        <f aca="false">E1523+C1524</f>
        <v>0</v>
      </c>
      <c r="P1524" s="0" t="n">
        <f aca="false">IF(AND(Comments!B1522='Policy card'!$C$3,Comments!N1522="Closed"),1,0)</f>
        <v>0</v>
      </c>
      <c r="Q1524" s="0" t="n">
        <f aca="false">Q1523+P1524</f>
        <v>7</v>
      </c>
    </row>
    <row r="1525" customFormat="false" ht="15" hidden="false" customHeight="false" outlineLevel="0" collapsed="false">
      <c r="C1525" s="0" t="n">
        <f aca="false">IF(AND(Comments!B1523='Policy card'!$C$3,Comments!N1523="Open"),1,0)</f>
        <v>0</v>
      </c>
      <c r="D1525" s="0" t="str">
        <f aca="false">IF(C1525=1,E1525,IF(P1525=1,$E$2003+Q1525,""))</f>
        <v/>
      </c>
      <c r="E1525" s="0" t="n">
        <f aca="false">E1524+C1525</f>
        <v>0</v>
      </c>
      <c r="P1525" s="0" t="n">
        <f aca="false">IF(AND(Comments!B1523='Policy card'!$C$3,Comments!N1523="Closed"),1,0)</f>
        <v>0</v>
      </c>
      <c r="Q1525" s="0" t="n">
        <f aca="false">Q1524+P1525</f>
        <v>7</v>
      </c>
    </row>
    <row r="1526" customFormat="false" ht="15" hidden="false" customHeight="false" outlineLevel="0" collapsed="false">
      <c r="C1526" s="0" t="n">
        <f aca="false">IF(AND(Comments!B1524='Policy card'!$C$3,Comments!N1524="Open"),1,0)</f>
        <v>0</v>
      </c>
      <c r="D1526" s="0" t="str">
        <f aca="false">IF(C1526=1,E1526,IF(P1526=1,$E$2003+Q1526,""))</f>
        <v/>
      </c>
      <c r="E1526" s="0" t="n">
        <f aca="false">E1525+C1526</f>
        <v>0</v>
      </c>
      <c r="P1526" s="0" t="n">
        <f aca="false">IF(AND(Comments!B1524='Policy card'!$C$3,Comments!N1524="Closed"),1,0)</f>
        <v>0</v>
      </c>
      <c r="Q1526" s="0" t="n">
        <f aca="false">Q1525+P1526</f>
        <v>7</v>
      </c>
    </row>
    <row r="1527" customFormat="false" ht="15" hidden="false" customHeight="false" outlineLevel="0" collapsed="false">
      <c r="C1527" s="0" t="n">
        <f aca="false">IF(AND(Comments!B1525='Policy card'!$C$3,Comments!N1525="Open"),1,0)</f>
        <v>0</v>
      </c>
      <c r="D1527" s="0" t="str">
        <f aca="false">IF(C1527=1,E1527,IF(P1527=1,$E$2003+Q1527,""))</f>
        <v/>
      </c>
      <c r="E1527" s="0" t="n">
        <f aca="false">E1526+C1527</f>
        <v>0</v>
      </c>
      <c r="P1527" s="0" t="n">
        <f aca="false">IF(AND(Comments!B1525='Policy card'!$C$3,Comments!N1525="Closed"),1,0)</f>
        <v>0</v>
      </c>
      <c r="Q1527" s="0" t="n">
        <f aca="false">Q1526+P1527</f>
        <v>7</v>
      </c>
    </row>
    <row r="1528" customFormat="false" ht="15" hidden="false" customHeight="false" outlineLevel="0" collapsed="false">
      <c r="C1528" s="0" t="n">
        <f aca="false">IF(AND(Comments!B1526='Policy card'!$C$3,Comments!N1526="Open"),1,0)</f>
        <v>0</v>
      </c>
      <c r="D1528" s="0" t="str">
        <f aca="false">IF(C1528=1,E1528,IF(P1528=1,$E$2003+Q1528,""))</f>
        <v/>
      </c>
      <c r="E1528" s="0" t="n">
        <f aca="false">E1527+C1528</f>
        <v>0</v>
      </c>
      <c r="P1528" s="0" t="n">
        <f aca="false">IF(AND(Comments!B1526='Policy card'!$C$3,Comments!N1526="Closed"),1,0)</f>
        <v>0</v>
      </c>
      <c r="Q1528" s="0" t="n">
        <f aca="false">Q1527+P1528</f>
        <v>7</v>
      </c>
    </row>
    <row r="1529" customFormat="false" ht="15" hidden="false" customHeight="false" outlineLevel="0" collapsed="false">
      <c r="C1529" s="0" t="n">
        <f aca="false">IF(AND(Comments!B1527='Policy card'!$C$3,Comments!N1527="Open"),1,0)</f>
        <v>0</v>
      </c>
      <c r="D1529" s="0" t="str">
        <f aca="false">IF(C1529=1,E1529,IF(P1529=1,$E$2003+Q1529,""))</f>
        <v/>
      </c>
      <c r="E1529" s="0" t="n">
        <f aca="false">E1528+C1529</f>
        <v>0</v>
      </c>
      <c r="P1529" s="0" t="n">
        <f aca="false">IF(AND(Comments!B1527='Policy card'!$C$3,Comments!N1527="Closed"),1,0)</f>
        <v>0</v>
      </c>
      <c r="Q1529" s="0" t="n">
        <f aca="false">Q1528+P1529</f>
        <v>7</v>
      </c>
    </row>
    <row r="1530" customFormat="false" ht="15" hidden="false" customHeight="false" outlineLevel="0" collapsed="false">
      <c r="C1530" s="0" t="n">
        <f aca="false">IF(AND(Comments!B1528='Policy card'!$C$3,Comments!N1528="Open"),1,0)</f>
        <v>0</v>
      </c>
      <c r="D1530" s="0" t="str">
        <f aca="false">IF(C1530=1,E1530,IF(P1530=1,$E$2003+Q1530,""))</f>
        <v/>
      </c>
      <c r="E1530" s="0" t="n">
        <f aca="false">E1529+C1530</f>
        <v>0</v>
      </c>
      <c r="P1530" s="0" t="n">
        <f aca="false">IF(AND(Comments!B1528='Policy card'!$C$3,Comments!N1528="Closed"),1,0)</f>
        <v>0</v>
      </c>
      <c r="Q1530" s="0" t="n">
        <f aca="false">Q1529+P1530</f>
        <v>7</v>
      </c>
    </row>
    <row r="1531" customFormat="false" ht="15" hidden="false" customHeight="false" outlineLevel="0" collapsed="false">
      <c r="C1531" s="0" t="n">
        <f aca="false">IF(AND(Comments!B1529='Policy card'!$C$3,Comments!N1529="Open"),1,0)</f>
        <v>0</v>
      </c>
      <c r="D1531" s="0" t="str">
        <f aca="false">IF(C1531=1,E1531,IF(P1531=1,$E$2003+Q1531,""))</f>
        <v/>
      </c>
      <c r="E1531" s="0" t="n">
        <f aca="false">E1530+C1531</f>
        <v>0</v>
      </c>
      <c r="P1531" s="0" t="n">
        <f aca="false">IF(AND(Comments!B1529='Policy card'!$C$3,Comments!N1529="Closed"),1,0)</f>
        <v>0</v>
      </c>
      <c r="Q1531" s="0" t="n">
        <f aca="false">Q1530+P1531</f>
        <v>7</v>
      </c>
    </row>
    <row r="1532" customFormat="false" ht="15" hidden="false" customHeight="false" outlineLevel="0" collapsed="false">
      <c r="C1532" s="0" t="n">
        <f aca="false">IF(AND(Comments!B1530='Policy card'!$C$3,Comments!N1530="Open"),1,0)</f>
        <v>0</v>
      </c>
      <c r="D1532" s="0" t="str">
        <f aca="false">IF(C1532=1,E1532,IF(P1532=1,$E$2003+Q1532,""))</f>
        <v/>
      </c>
      <c r="E1532" s="0" t="n">
        <f aca="false">E1531+C1532</f>
        <v>0</v>
      </c>
      <c r="P1532" s="0" t="n">
        <f aca="false">IF(AND(Comments!B1530='Policy card'!$C$3,Comments!N1530="Closed"),1,0)</f>
        <v>0</v>
      </c>
      <c r="Q1532" s="0" t="n">
        <f aca="false">Q1531+P1532</f>
        <v>7</v>
      </c>
    </row>
    <row r="1533" customFormat="false" ht="15" hidden="false" customHeight="false" outlineLevel="0" collapsed="false">
      <c r="C1533" s="0" t="n">
        <f aca="false">IF(AND(Comments!B1531='Policy card'!$C$3,Comments!N1531="Open"),1,0)</f>
        <v>0</v>
      </c>
      <c r="D1533" s="0" t="str">
        <f aca="false">IF(C1533=1,E1533,IF(P1533=1,$E$2003+Q1533,""))</f>
        <v/>
      </c>
      <c r="E1533" s="0" t="n">
        <f aca="false">E1532+C1533</f>
        <v>0</v>
      </c>
      <c r="P1533" s="0" t="n">
        <f aca="false">IF(AND(Comments!B1531='Policy card'!$C$3,Comments!N1531="Closed"),1,0)</f>
        <v>0</v>
      </c>
      <c r="Q1533" s="0" t="n">
        <f aca="false">Q1532+P1533</f>
        <v>7</v>
      </c>
    </row>
    <row r="1534" customFormat="false" ht="15" hidden="false" customHeight="false" outlineLevel="0" collapsed="false">
      <c r="C1534" s="0" t="n">
        <f aca="false">IF(AND(Comments!B1532='Policy card'!$C$3,Comments!N1532="Open"),1,0)</f>
        <v>0</v>
      </c>
      <c r="D1534" s="0" t="str">
        <f aca="false">IF(C1534=1,E1534,IF(P1534=1,$E$2003+Q1534,""))</f>
        <v/>
      </c>
      <c r="E1534" s="0" t="n">
        <f aca="false">E1533+C1534</f>
        <v>0</v>
      </c>
      <c r="P1534" s="0" t="n">
        <f aca="false">IF(AND(Comments!B1532='Policy card'!$C$3,Comments!N1532="Closed"),1,0)</f>
        <v>0</v>
      </c>
      <c r="Q1534" s="0" t="n">
        <f aca="false">Q1533+P1534</f>
        <v>7</v>
      </c>
    </row>
    <row r="1535" customFormat="false" ht="15" hidden="false" customHeight="false" outlineLevel="0" collapsed="false">
      <c r="C1535" s="0" t="n">
        <f aca="false">IF(AND(Comments!B1533='Policy card'!$C$3,Comments!N1533="Open"),1,0)</f>
        <v>0</v>
      </c>
      <c r="D1535" s="0" t="str">
        <f aca="false">IF(C1535=1,E1535,IF(P1535=1,$E$2003+Q1535,""))</f>
        <v/>
      </c>
      <c r="E1535" s="0" t="n">
        <f aca="false">E1534+C1535</f>
        <v>0</v>
      </c>
      <c r="P1535" s="0" t="n">
        <f aca="false">IF(AND(Comments!B1533='Policy card'!$C$3,Comments!N1533="Closed"),1,0)</f>
        <v>0</v>
      </c>
      <c r="Q1535" s="0" t="n">
        <f aca="false">Q1534+P1535</f>
        <v>7</v>
      </c>
    </row>
    <row r="1536" customFormat="false" ht="15" hidden="false" customHeight="false" outlineLevel="0" collapsed="false">
      <c r="C1536" s="0" t="n">
        <f aca="false">IF(AND(Comments!B1534='Policy card'!$C$3,Comments!N1534="Open"),1,0)</f>
        <v>0</v>
      </c>
      <c r="D1536" s="0" t="str">
        <f aca="false">IF(C1536=1,E1536,IF(P1536=1,$E$2003+Q1536,""))</f>
        <v/>
      </c>
      <c r="E1536" s="0" t="n">
        <f aca="false">E1535+C1536</f>
        <v>0</v>
      </c>
      <c r="P1536" s="0" t="n">
        <f aca="false">IF(AND(Comments!B1534='Policy card'!$C$3,Comments!N1534="Closed"),1,0)</f>
        <v>0</v>
      </c>
      <c r="Q1536" s="0" t="n">
        <f aca="false">Q1535+P1536</f>
        <v>7</v>
      </c>
    </row>
    <row r="1537" customFormat="false" ht="15" hidden="false" customHeight="false" outlineLevel="0" collapsed="false">
      <c r="C1537" s="0" t="n">
        <f aca="false">IF(AND(Comments!B1535='Policy card'!$C$3,Comments!N1535="Open"),1,0)</f>
        <v>0</v>
      </c>
      <c r="D1537" s="0" t="str">
        <f aca="false">IF(C1537=1,E1537,IF(P1537=1,$E$2003+Q1537,""))</f>
        <v/>
      </c>
      <c r="E1537" s="0" t="n">
        <f aca="false">E1536+C1537</f>
        <v>0</v>
      </c>
      <c r="P1537" s="0" t="n">
        <f aca="false">IF(AND(Comments!B1535='Policy card'!$C$3,Comments!N1535="Closed"),1,0)</f>
        <v>0</v>
      </c>
      <c r="Q1537" s="0" t="n">
        <f aca="false">Q1536+P1537</f>
        <v>7</v>
      </c>
    </row>
    <row r="1538" customFormat="false" ht="15" hidden="false" customHeight="false" outlineLevel="0" collapsed="false">
      <c r="C1538" s="0" t="n">
        <f aca="false">IF(AND(Comments!B1536='Policy card'!$C$3,Comments!N1536="Open"),1,0)</f>
        <v>0</v>
      </c>
      <c r="D1538" s="0" t="str">
        <f aca="false">IF(C1538=1,E1538,IF(P1538=1,$E$2003+Q1538,""))</f>
        <v/>
      </c>
      <c r="E1538" s="0" t="n">
        <f aca="false">E1537+C1538</f>
        <v>0</v>
      </c>
      <c r="P1538" s="0" t="n">
        <f aca="false">IF(AND(Comments!B1536='Policy card'!$C$3,Comments!N1536="Closed"),1,0)</f>
        <v>0</v>
      </c>
      <c r="Q1538" s="0" t="n">
        <f aca="false">Q1537+P1538</f>
        <v>7</v>
      </c>
    </row>
    <row r="1539" customFormat="false" ht="15" hidden="false" customHeight="false" outlineLevel="0" collapsed="false">
      <c r="C1539" s="0" t="n">
        <f aca="false">IF(AND(Comments!B1537='Policy card'!$C$3,Comments!N1537="Open"),1,0)</f>
        <v>0</v>
      </c>
      <c r="D1539" s="0" t="str">
        <f aca="false">IF(C1539=1,E1539,IF(P1539=1,$E$2003+Q1539,""))</f>
        <v/>
      </c>
      <c r="E1539" s="0" t="n">
        <f aca="false">E1538+C1539</f>
        <v>0</v>
      </c>
      <c r="P1539" s="0" t="n">
        <f aca="false">IF(AND(Comments!B1537='Policy card'!$C$3,Comments!N1537="Closed"),1,0)</f>
        <v>0</v>
      </c>
      <c r="Q1539" s="0" t="n">
        <f aca="false">Q1538+P1539</f>
        <v>7</v>
      </c>
    </row>
    <row r="1540" customFormat="false" ht="15" hidden="false" customHeight="false" outlineLevel="0" collapsed="false">
      <c r="C1540" s="0" t="n">
        <f aca="false">IF(AND(Comments!B1538='Policy card'!$C$3,Comments!N1538="Open"),1,0)</f>
        <v>0</v>
      </c>
      <c r="D1540" s="0" t="str">
        <f aca="false">IF(C1540=1,E1540,IF(P1540=1,$E$2003+Q1540,""))</f>
        <v/>
      </c>
      <c r="E1540" s="0" t="n">
        <f aca="false">E1539+C1540</f>
        <v>0</v>
      </c>
      <c r="P1540" s="0" t="n">
        <f aca="false">IF(AND(Comments!B1538='Policy card'!$C$3,Comments!N1538="Closed"),1,0)</f>
        <v>0</v>
      </c>
      <c r="Q1540" s="0" t="n">
        <f aca="false">Q1539+P1540</f>
        <v>7</v>
      </c>
    </row>
    <row r="1541" customFormat="false" ht="15" hidden="false" customHeight="false" outlineLevel="0" collapsed="false">
      <c r="C1541" s="0" t="n">
        <f aca="false">IF(AND(Comments!B1539='Policy card'!$C$3,Comments!N1539="Open"),1,0)</f>
        <v>0</v>
      </c>
      <c r="D1541" s="0" t="str">
        <f aca="false">IF(C1541=1,E1541,IF(P1541=1,$E$2003+Q1541,""))</f>
        <v/>
      </c>
      <c r="E1541" s="0" t="n">
        <f aca="false">E1540+C1541</f>
        <v>0</v>
      </c>
      <c r="P1541" s="0" t="n">
        <f aca="false">IF(AND(Comments!B1539='Policy card'!$C$3,Comments!N1539="Closed"),1,0)</f>
        <v>0</v>
      </c>
      <c r="Q1541" s="0" t="n">
        <f aca="false">Q1540+P1541</f>
        <v>7</v>
      </c>
    </row>
    <row r="1542" customFormat="false" ht="15" hidden="false" customHeight="false" outlineLevel="0" collapsed="false">
      <c r="C1542" s="0" t="n">
        <f aca="false">IF(AND(Comments!B1540='Policy card'!$C$3,Comments!N1540="Open"),1,0)</f>
        <v>0</v>
      </c>
      <c r="D1542" s="0" t="str">
        <f aca="false">IF(C1542=1,E1542,IF(P1542=1,$E$2003+Q1542,""))</f>
        <v/>
      </c>
      <c r="E1542" s="0" t="n">
        <f aca="false">E1541+C1542</f>
        <v>0</v>
      </c>
      <c r="P1542" s="0" t="n">
        <f aca="false">IF(AND(Comments!B1540='Policy card'!$C$3,Comments!N1540="Closed"),1,0)</f>
        <v>0</v>
      </c>
      <c r="Q1542" s="0" t="n">
        <f aca="false">Q1541+P1542</f>
        <v>7</v>
      </c>
    </row>
    <row r="1543" customFormat="false" ht="15" hidden="false" customHeight="false" outlineLevel="0" collapsed="false">
      <c r="C1543" s="0" t="n">
        <f aca="false">IF(AND(Comments!B1541='Policy card'!$C$3,Comments!N1541="Open"),1,0)</f>
        <v>0</v>
      </c>
      <c r="D1543" s="0" t="str">
        <f aca="false">IF(C1543=1,E1543,IF(P1543=1,$E$2003+Q1543,""))</f>
        <v/>
      </c>
      <c r="E1543" s="0" t="n">
        <f aca="false">E1542+C1543</f>
        <v>0</v>
      </c>
      <c r="P1543" s="0" t="n">
        <f aca="false">IF(AND(Comments!B1541='Policy card'!$C$3,Comments!N1541="Closed"),1,0)</f>
        <v>0</v>
      </c>
      <c r="Q1543" s="0" t="n">
        <f aca="false">Q1542+P1543</f>
        <v>7</v>
      </c>
    </row>
    <row r="1544" customFormat="false" ht="15" hidden="false" customHeight="false" outlineLevel="0" collapsed="false">
      <c r="C1544" s="0" t="n">
        <f aca="false">IF(AND(Comments!B1542='Policy card'!$C$3,Comments!N1542="Open"),1,0)</f>
        <v>0</v>
      </c>
      <c r="D1544" s="0" t="str">
        <f aca="false">IF(C1544=1,E1544,IF(P1544=1,$E$2003+Q1544,""))</f>
        <v/>
      </c>
      <c r="E1544" s="0" t="n">
        <f aca="false">E1543+C1544</f>
        <v>0</v>
      </c>
      <c r="P1544" s="0" t="n">
        <f aca="false">IF(AND(Comments!B1542='Policy card'!$C$3,Comments!N1542="Closed"),1,0)</f>
        <v>0</v>
      </c>
      <c r="Q1544" s="0" t="n">
        <f aca="false">Q1543+P1544</f>
        <v>7</v>
      </c>
    </row>
    <row r="1545" customFormat="false" ht="15" hidden="false" customHeight="false" outlineLevel="0" collapsed="false">
      <c r="C1545" s="0" t="n">
        <f aca="false">IF(AND(Comments!B1543='Policy card'!$C$3,Comments!N1543="Open"),1,0)</f>
        <v>0</v>
      </c>
      <c r="D1545" s="0" t="str">
        <f aca="false">IF(C1545=1,E1545,IF(P1545=1,$E$2003+Q1545,""))</f>
        <v/>
      </c>
      <c r="E1545" s="0" t="n">
        <f aca="false">E1544+C1545</f>
        <v>0</v>
      </c>
      <c r="P1545" s="0" t="n">
        <f aca="false">IF(AND(Comments!B1543='Policy card'!$C$3,Comments!N1543="Closed"),1,0)</f>
        <v>0</v>
      </c>
      <c r="Q1545" s="0" t="n">
        <f aca="false">Q1544+P1545</f>
        <v>7</v>
      </c>
    </row>
    <row r="1546" customFormat="false" ht="15" hidden="false" customHeight="false" outlineLevel="0" collapsed="false">
      <c r="C1546" s="0" t="n">
        <f aca="false">IF(AND(Comments!B1544='Policy card'!$C$3,Comments!N1544="Open"),1,0)</f>
        <v>0</v>
      </c>
      <c r="D1546" s="0" t="str">
        <f aca="false">IF(C1546=1,E1546,IF(P1546=1,$E$2003+Q1546,""))</f>
        <v/>
      </c>
      <c r="E1546" s="0" t="n">
        <f aca="false">E1545+C1546</f>
        <v>0</v>
      </c>
      <c r="P1546" s="0" t="n">
        <f aca="false">IF(AND(Comments!B1544='Policy card'!$C$3,Comments!N1544="Closed"),1,0)</f>
        <v>0</v>
      </c>
      <c r="Q1546" s="0" t="n">
        <f aca="false">Q1545+P1546</f>
        <v>7</v>
      </c>
    </row>
    <row r="1547" customFormat="false" ht="15" hidden="false" customHeight="false" outlineLevel="0" collapsed="false">
      <c r="C1547" s="0" t="n">
        <f aca="false">IF(AND(Comments!B1545='Policy card'!$C$3,Comments!N1545="Open"),1,0)</f>
        <v>0</v>
      </c>
      <c r="D1547" s="0" t="str">
        <f aca="false">IF(C1547=1,E1547,IF(P1547=1,$E$2003+Q1547,""))</f>
        <v/>
      </c>
      <c r="E1547" s="0" t="n">
        <f aca="false">E1546+C1547</f>
        <v>0</v>
      </c>
      <c r="P1547" s="0" t="n">
        <f aca="false">IF(AND(Comments!B1545='Policy card'!$C$3,Comments!N1545="Closed"),1,0)</f>
        <v>0</v>
      </c>
      <c r="Q1547" s="0" t="n">
        <f aca="false">Q1546+P1547</f>
        <v>7</v>
      </c>
    </row>
    <row r="1548" customFormat="false" ht="15" hidden="false" customHeight="false" outlineLevel="0" collapsed="false">
      <c r="C1548" s="0" t="n">
        <f aca="false">IF(AND(Comments!B1546='Policy card'!$C$3,Comments!N1546="Open"),1,0)</f>
        <v>0</v>
      </c>
      <c r="D1548" s="0" t="str">
        <f aca="false">IF(C1548=1,E1548,IF(P1548=1,$E$2003+Q1548,""))</f>
        <v/>
      </c>
      <c r="E1548" s="0" t="n">
        <f aca="false">E1547+C1548</f>
        <v>0</v>
      </c>
      <c r="P1548" s="0" t="n">
        <f aca="false">IF(AND(Comments!B1546='Policy card'!$C$3,Comments!N1546="Closed"),1,0)</f>
        <v>0</v>
      </c>
      <c r="Q1548" s="0" t="n">
        <f aca="false">Q1547+P1548</f>
        <v>7</v>
      </c>
    </row>
    <row r="1549" customFormat="false" ht="15" hidden="false" customHeight="false" outlineLevel="0" collapsed="false">
      <c r="C1549" s="0" t="n">
        <f aca="false">IF(AND(Comments!B1547='Policy card'!$C$3,Comments!N1547="Open"),1,0)</f>
        <v>0</v>
      </c>
      <c r="D1549" s="0" t="str">
        <f aca="false">IF(C1549=1,E1549,IF(P1549=1,$E$2003+Q1549,""))</f>
        <v/>
      </c>
      <c r="E1549" s="0" t="n">
        <f aca="false">E1548+C1549</f>
        <v>0</v>
      </c>
      <c r="P1549" s="0" t="n">
        <f aca="false">IF(AND(Comments!B1547='Policy card'!$C$3,Comments!N1547="Closed"),1,0)</f>
        <v>0</v>
      </c>
      <c r="Q1549" s="0" t="n">
        <f aca="false">Q1548+P1549</f>
        <v>7</v>
      </c>
    </row>
    <row r="1550" customFormat="false" ht="15" hidden="false" customHeight="false" outlineLevel="0" collapsed="false">
      <c r="C1550" s="0" t="n">
        <f aca="false">IF(AND(Comments!B1548='Policy card'!$C$3,Comments!N1548="Open"),1,0)</f>
        <v>0</v>
      </c>
      <c r="D1550" s="0" t="str">
        <f aca="false">IF(C1550=1,E1550,IF(P1550=1,$E$2003+Q1550,""))</f>
        <v/>
      </c>
      <c r="E1550" s="0" t="n">
        <f aca="false">E1549+C1550</f>
        <v>0</v>
      </c>
      <c r="P1550" s="0" t="n">
        <f aca="false">IF(AND(Comments!B1548='Policy card'!$C$3,Comments!N1548="Closed"),1,0)</f>
        <v>0</v>
      </c>
      <c r="Q1550" s="0" t="n">
        <f aca="false">Q1549+P1550</f>
        <v>7</v>
      </c>
    </row>
    <row r="1551" customFormat="false" ht="15" hidden="false" customHeight="false" outlineLevel="0" collapsed="false">
      <c r="C1551" s="0" t="n">
        <f aca="false">IF(AND(Comments!B1549='Policy card'!$C$3,Comments!N1549="Open"),1,0)</f>
        <v>0</v>
      </c>
      <c r="D1551" s="0" t="str">
        <f aca="false">IF(C1551=1,E1551,IF(P1551=1,$E$2003+Q1551,""))</f>
        <v/>
      </c>
      <c r="E1551" s="0" t="n">
        <f aca="false">E1550+C1551</f>
        <v>0</v>
      </c>
      <c r="P1551" s="0" t="n">
        <f aca="false">IF(AND(Comments!B1549='Policy card'!$C$3,Comments!N1549="Closed"),1,0)</f>
        <v>0</v>
      </c>
      <c r="Q1551" s="0" t="n">
        <f aca="false">Q1550+P1551</f>
        <v>7</v>
      </c>
    </row>
    <row r="1552" customFormat="false" ht="15" hidden="false" customHeight="false" outlineLevel="0" collapsed="false">
      <c r="C1552" s="0" t="n">
        <f aca="false">IF(AND(Comments!B1550='Policy card'!$C$3,Comments!N1550="Open"),1,0)</f>
        <v>0</v>
      </c>
      <c r="D1552" s="0" t="str">
        <f aca="false">IF(C1552=1,E1552,IF(P1552=1,$E$2003+Q1552,""))</f>
        <v/>
      </c>
      <c r="E1552" s="0" t="n">
        <f aca="false">E1551+C1552</f>
        <v>0</v>
      </c>
      <c r="P1552" s="0" t="n">
        <f aca="false">IF(AND(Comments!B1550='Policy card'!$C$3,Comments!N1550="Closed"),1,0)</f>
        <v>0</v>
      </c>
      <c r="Q1552" s="0" t="n">
        <f aca="false">Q1551+P1552</f>
        <v>7</v>
      </c>
    </row>
    <row r="1553" customFormat="false" ht="15" hidden="false" customHeight="false" outlineLevel="0" collapsed="false">
      <c r="C1553" s="0" t="n">
        <f aca="false">IF(AND(Comments!B1551='Policy card'!$C$3,Comments!N1551="Open"),1,0)</f>
        <v>0</v>
      </c>
      <c r="D1553" s="0" t="str">
        <f aca="false">IF(C1553=1,E1553,IF(P1553=1,$E$2003+Q1553,""))</f>
        <v/>
      </c>
      <c r="E1553" s="0" t="n">
        <f aca="false">E1552+C1553</f>
        <v>0</v>
      </c>
      <c r="P1553" s="0" t="n">
        <f aca="false">IF(AND(Comments!B1551='Policy card'!$C$3,Comments!N1551="Closed"),1,0)</f>
        <v>0</v>
      </c>
      <c r="Q1553" s="0" t="n">
        <f aca="false">Q1552+P1553</f>
        <v>7</v>
      </c>
    </row>
    <row r="1554" customFormat="false" ht="15" hidden="false" customHeight="false" outlineLevel="0" collapsed="false">
      <c r="C1554" s="0" t="n">
        <f aca="false">IF(AND(Comments!B1552='Policy card'!$C$3,Comments!N1552="Open"),1,0)</f>
        <v>0</v>
      </c>
      <c r="D1554" s="0" t="str">
        <f aca="false">IF(C1554=1,E1554,IF(P1554=1,$E$2003+Q1554,""))</f>
        <v/>
      </c>
      <c r="E1554" s="0" t="n">
        <f aca="false">E1553+C1554</f>
        <v>0</v>
      </c>
      <c r="P1554" s="0" t="n">
        <f aca="false">IF(AND(Comments!B1552='Policy card'!$C$3,Comments!N1552="Closed"),1,0)</f>
        <v>0</v>
      </c>
      <c r="Q1554" s="0" t="n">
        <f aca="false">Q1553+P1554</f>
        <v>7</v>
      </c>
    </row>
    <row r="1555" customFormat="false" ht="15" hidden="false" customHeight="false" outlineLevel="0" collapsed="false">
      <c r="C1555" s="0" t="n">
        <f aca="false">IF(AND(Comments!B1553='Policy card'!$C$3,Comments!N1553="Open"),1,0)</f>
        <v>0</v>
      </c>
      <c r="D1555" s="0" t="str">
        <f aca="false">IF(C1555=1,E1555,IF(P1555=1,$E$2003+Q1555,""))</f>
        <v/>
      </c>
      <c r="E1555" s="0" t="n">
        <f aca="false">E1554+C1555</f>
        <v>0</v>
      </c>
      <c r="P1555" s="0" t="n">
        <f aca="false">IF(AND(Comments!B1553='Policy card'!$C$3,Comments!N1553="Closed"),1,0)</f>
        <v>0</v>
      </c>
      <c r="Q1555" s="0" t="n">
        <f aca="false">Q1554+P1555</f>
        <v>7</v>
      </c>
    </row>
    <row r="1556" customFormat="false" ht="15" hidden="false" customHeight="false" outlineLevel="0" collapsed="false">
      <c r="C1556" s="0" t="n">
        <f aca="false">IF(AND(Comments!B1554='Policy card'!$C$3,Comments!N1554="Open"),1,0)</f>
        <v>0</v>
      </c>
      <c r="D1556" s="0" t="str">
        <f aca="false">IF(C1556=1,E1556,IF(P1556=1,$E$2003+Q1556,""))</f>
        <v/>
      </c>
      <c r="E1556" s="0" t="n">
        <f aca="false">E1555+C1556</f>
        <v>0</v>
      </c>
      <c r="P1556" s="0" t="n">
        <f aca="false">IF(AND(Comments!B1554='Policy card'!$C$3,Comments!N1554="Closed"),1,0)</f>
        <v>0</v>
      </c>
      <c r="Q1556" s="0" t="n">
        <f aca="false">Q1555+P1556</f>
        <v>7</v>
      </c>
    </row>
    <row r="1557" customFormat="false" ht="15" hidden="false" customHeight="false" outlineLevel="0" collapsed="false">
      <c r="C1557" s="0" t="n">
        <f aca="false">IF(AND(Comments!B1555='Policy card'!$C$3,Comments!N1555="Open"),1,0)</f>
        <v>0</v>
      </c>
      <c r="D1557" s="0" t="str">
        <f aca="false">IF(C1557=1,E1557,IF(P1557=1,$E$2003+Q1557,""))</f>
        <v/>
      </c>
      <c r="E1557" s="0" t="n">
        <f aca="false">E1556+C1557</f>
        <v>0</v>
      </c>
      <c r="P1557" s="0" t="n">
        <f aca="false">IF(AND(Comments!B1555='Policy card'!$C$3,Comments!N1555="Closed"),1,0)</f>
        <v>0</v>
      </c>
      <c r="Q1557" s="0" t="n">
        <f aca="false">Q1556+P1557</f>
        <v>7</v>
      </c>
    </row>
    <row r="1558" customFormat="false" ht="15" hidden="false" customHeight="false" outlineLevel="0" collapsed="false">
      <c r="C1558" s="0" t="n">
        <f aca="false">IF(AND(Comments!B1556='Policy card'!$C$3,Comments!N1556="Open"),1,0)</f>
        <v>0</v>
      </c>
      <c r="D1558" s="0" t="str">
        <f aca="false">IF(C1558=1,E1558,IF(P1558=1,$E$2003+Q1558,""))</f>
        <v/>
      </c>
      <c r="E1558" s="0" t="n">
        <f aca="false">E1557+C1558</f>
        <v>0</v>
      </c>
      <c r="P1558" s="0" t="n">
        <f aca="false">IF(AND(Comments!B1556='Policy card'!$C$3,Comments!N1556="Closed"),1,0)</f>
        <v>0</v>
      </c>
      <c r="Q1558" s="0" t="n">
        <f aca="false">Q1557+P1558</f>
        <v>7</v>
      </c>
    </row>
    <row r="1559" customFormat="false" ht="15" hidden="false" customHeight="false" outlineLevel="0" collapsed="false">
      <c r="C1559" s="0" t="n">
        <f aca="false">IF(AND(Comments!B1557='Policy card'!$C$3,Comments!N1557="Open"),1,0)</f>
        <v>0</v>
      </c>
      <c r="D1559" s="0" t="str">
        <f aca="false">IF(C1559=1,E1559,IF(P1559=1,$E$2003+Q1559,""))</f>
        <v/>
      </c>
      <c r="E1559" s="0" t="n">
        <f aca="false">E1558+C1559</f>
        <v>0</v>
      </c>
      <c r="P1559" s="0" t="n">
        <f aca="false">IF(AND(Comments!B1557='Policy card'!$C$3,Comments!N1557="Closed"),1,0)</f>
        <v>0</v>
      </c>
      <c r="Q1559" s="0" t="n">
        <f aca="false">Q1558+P1559</f>
        <v>7</v>
      </c>
    </row>
    <row r="1560" customFormat="false" ht="15" hidden="false" customHeight="false" outlineLevel="0" collapsed="false">
      <c r="C1560" s="0" t="n">
        <f aca="false">IF(AND(Comments!B1558='Policy card'!$C$3,Comments!N1558="Open"),1,0)</f>
        <v>0</v>
      </c>
      <c r="D1560" s="0" t="str">
        <f aca="false">IF(C1560=1,E1560,IF(P1560=1,$E$2003+Q1560,""))</f>
        <v/>
      </c>
      <c r="E1560" s="0" t="n">
        <f aca="false">E1559+C1560</f>
        <v>0</v>
      </c>
      <c r="P1560" s="0" t="n">
        <f aca="false">IF(AND(Comments!B1558='Policy card'!$C$3,Comments!N1558="Closed"),1,0)</f>
        <v>0</v>
      </c>
      <c r="Q1560" s="0" t="n">
        <f aca="false">Q1559+P1560</f>
        <v>7</v>
      </c>
    </row>
    <row r="1561" customFormat="false" ht="15" hidden="false" customHeight="false" outlineLevel="0" collapsed="false">
      <c r="C1561" s="0" t="n">
        <f aca="false">IF(AND(Comments!B1559='Policy card'!$C$3,Comments!N1559="Open"),1,0)</f>
        <v>0</v>
      </c>
      <c r="D1561" s="0" t="str">
        <f aca="false">IF(C1561=1,E1561,IF(P1561=1,$E$2003+Q1561,""))</f>
        <v/>
      </c>
      <c r="E1561" s="0" t="n">
        <f aca="false">E1560+C1561</f>
        <v>0</v>
      </c>
      <c r="P1561" s="0" t="n">
        <f aca="false">IF(AND(Comments!B1559='Policy card'!$C$3,Comments!N1559="Closed"),1,0)</f>
        <v>0</v>
      </c>
      <c r="Q1561" s="0" t="n">
        <f aca="false">Q1560+P1561</f>
        <v>7</v>
      </c>
    </row>
    <row r="1562" customFormat="false" ht="15" hidden="false" customHeight="false" outlineLevel="0" collapsed="false">
      <c r="C1562" s="0" t="n">
        <f aca="false">IF(AND(Comments!B1560='Policy card'!$C$3,Comments!N1560="Open"),1,0)</f>
        <v>0</v>
      </c>
      <c r="D1562" s="0" t="str">
        <f aca="false">IF(C1562=1,E1562,IF(P1562=1,$E$2003+Q1562,""))</f>
        <v/>
      </c>
      <c r="E1562" s="0" t="n">
        <f aca="false">E1561+C1562</f>
        <v>0</v>
      </c>
      <c r="P1562" s="0" t="n">
        <f aca="false">IF(AND(Comments!B1560='Policy card'!$C$3,Comments!N1560="Closed"),1,0)</f>
        <v>0</v>
      </c>
      <c r="Q1562" s="0" t="n">
        <f aca="false">Q1561+P1562</f>
        <v>7</v>
      </c>
    </row>
    <row r="1563" customFormat="false" ht="15" hidden="false" customHeight="false" outlineLevel="0" collapsed="false">
      <c r="C1563" s="0" t="n">
        <f aca="false">IF(AND(Comments!B1561='Policy card'!$C$3,Comments!N1561="Open"),1,0)</f>
        <v>0</v>
      </c>
      <c r="D1563" s="0" t="str">
        <f aca="false">IF(C1563=1,E1563,IF(P1563=1,$E$2003+Q1563,""))</f>
        <v/>
      </c>
      <c r="E1563" s="0" t="n">
        <f aca="false">E1562+C1563</f>
        <v>0</v>
      </c>
      <c r="P1563" s="0" t="n">
        <f aca="false">IF(AND(Comments!B1561='Policy card'!$C$3,Comments!N1561="Closed"),1,0)</f>
        <v>0</v>
      </c>
      <c r="Q1563" s="0" t="n">
        <f aca="false">Q1562+P1563</f>
        <v>7</v>
      </c>
    </row>
    <row r="1564" customFormat="false" ht="15" hidden="false" customHeight="false" outlineLevel="0" collapsed="false">
      <c r="C1564" s="0" t="n">
        <f aca="false">IF(AND(Comments!B1562='Policy card'!$C$3,Comments!N1562="Open"),1,0)</f>
        <v>0</v>
      </c>
      <c r="D1564" s="0" t="str">
        <f aca="false">IF(C1564=1,E1564,IF(P1564=1,$E$2003+Q1564,""))</f>
        <v/>
      </c>
      <c r="E1564" s="0" t="n">
        <f aca="false">E1563+C1564</f>
        <v>0</v>
      </c>
      <c r="P1564" s="0" t="n">
        <f aca="false">IF(AND(Comments!B1562='Policy card'!$C$3,Comments!N1562="Closed"),1,0)</f>
        <v>0</v>
      </c>
      <c r="Q1564" s="0" t="n">
        <f aca="false">Q1563+P1564</f>
        <v>7</v>
      </c>
    </row>
    <row r="1565" customFormat="false" ht="15" hidden="false" customHeight="false" outlineLevel="0" collapsed="false">
      <c r="C1565" s="0" t="n">
        <f aca="false">IF(AND(Comments!B1563='Policy card'!$C$3,Comments!N1563="Open"),1,0)</f>
        <v>0</v>
      </c>
      <c r="D1565" s="0" t="str">
        <f aca="false">IF(C1565=1,E1565,IF(P1565=1,$E$2003+Q1565,""))</f>
        <v/>
      </c>
      <c r="E1565" s="0" t="n">
        <f aca="false">E1564+C1565</f>
        <v>0</v>
      </c>
      <c r="P1565" s="0" t="n">
        <f aca="false">IF(AND(Comments!B1563='Policy card'!$C$3,Comments!N1563="Closed"),1,0)</f>
        <v>0</v>
      </c>
      <c r="Q1565" s="0" t="n">
        <f aca="false">Q1564+P1565</f>
        <v>7</v>
      </c>
    </row>
    <row r="1566" customFormat="false" ht="15" hidden="false" customHeight="false" outlineLevel="0" collapsed="false">
      <c r="C1566" s="0" t="n">
        <f aca="false">IF(AND(Comments!B1564='Policy card'!$C$3,Comments!N1564="Open"),1,0)</f>
        <v>0</v>
      </c>
      <c r="D1566" s="0" t="str">
        <f aca="false">IF(C1566=1,E1566,IF(P1566=1,$E$2003+Q1566,""))</f>
        <v/>
      </c>
      <c r="E1566" s="0" t="n">
        <f aca="false">E1565+C1566</f>
        <v>0</v>
      </c>
      <c r="P1566" s="0" t="n">
        <f aca="false">IF(AND(Comments!B1564='Policy card'!$C$3,Comments!N1564="Closed"),1,0)</f>
        <v>0</v>
      </c>
      <c r="Q1566" s="0" t="n">
        <f aca="false">Q1565+P1566</f>
        <v>7</v>
      </c>
    </row>
    <row r="1567" customFormat="false" ht="15" hidden="false" customHeight="false" outlineLevel="0" collapsed="false">
      <c r="C1567" s="0" t="n">
        <f aca="false">IF(AND(Comments!B1565='Policy card'!$C$3,Comments!N1565="Open"),1,0)</f>
        <v>0</v>
      </c>
      <c r="D1567" s="0" t="str">
        <f aca="false">IF(C1567=1,E1567,IF(P1567=1,$E$2003+Q1567,""))</f>
        <v/>
      </c>
      <c r="E1567" s="0" t="n">
        <f aca="false">E1566+C1567</f>
        <v>0</v>
      </c>
      <c r="P1567" s="0" t="n">
        <f aca="false">IF(AND(Comments!B1565='Policy card'!$C$3,Comments!N1565="Closed"),1,0)</f>
        <v>0</v>
      </c>
      <c r="Q1567" s="0" t="n">
        <f aca="false">Q1566+P1567</f>
        <v>7</v>
      </c>
    </row>
    <row r="1568" customFormat="false" ht="15" hidden="false" customHeight="false" outlineLevel="0" collapsed="false">
      <c r="C1568" s="0" t="n">
        <f aca="false">IF(AND(Comments!B1566='Policy card'!$C$3,Comments!N1566="Open"),1,0)</f>
        <v>0</v>
      </c>
      <c r="D1568" s="0" t="str">
        <f aca="false">IF(C1568=1,E1568,IF(P1568=1,$E$2003+Q1568,""))</f>
        <v/>
      </c>
      <c r="E1568" s="0" t="n">
        <f aca="false">E1567+C1568</f>
        <v>0</v>
      </c>
      <c r="P1568" s="0" t="n">
        <f aca="false">IF(AND(Comments!B1566='Policy card'!$C$3,Comments!N1566="Closed"),1,0)</f>
        <v>0</v>
      </c>
      <c r="Q1568" s="0" t="n">
        <f aca="false">Q1567+P1568</f>
        <v>7</v>
      </c>
    </row>
    <row r="1569" customFormat="false" ht="15" hidden="false" customHeight="false" outlineLevel="0" collapsed="false">
      <c r="C1569" s="0" t="n">
        <f aca="false">IF(AND(Comments!B1567='Policy card'!$C$3,Comments!N1567="Open"),1,0)</f>
        <v>0</v>
      </c>
      <c r="D1569" s="0" t="str">
        <f aca="false">IF(C1569=1,E1569,IF(P1569=1,$E$2003+Q1569,""))</f>
        <v/>
      </c>
      <c r="E1569" s="0" t="n">
        <f aca="false">E1568+C1569</f>
        <v>0</v>
      </c>
      <c r="P1569" s="0" t="n">
        <f aca="false">IF(AND(Comments!B1567='Policy card'!$C$3,Comments!N1567="Closed"),1,0)</f>
        <v>0</v>
      </c>
      <c r="Q1569" s="0" t="n">
        <f aca="false">Q1568+P1569</f>
        <v>7</v>
      </c>
    </row>
    <row r="1570" customFormat="false" ht="15" hidden="false" customHeight="false" outlineLevel="0" collapsed="false">
      <c r="C1570" s="0" t="n">
        <f aca="false">IF(AND(Comments!B1568='Policy card'!$C$3,Comments!N1568="Open"),1,0)</f>
        <v>0</v>
      </c>
      <c r="D1570" s="0" t="str">
        <f aca="false">IF(C1570=1,E1570,IF(P1570=1,$E$2003+Q1570,""))</f>
        <v/>
      </c>
      <c r="E1570" s="0" t="n">
        <f aca="false">E1569+C1570</f>
        <v>0</v>
      </c>
      <c r="P1570" s="0" t="n">
        <f aca="false">IF(AND(Comments!B1568='Policy card'!$C$3,Comments!N1568="Closed"),1,0)</f>
        <v>0</v>
      </c>
      <c r="Q1570" s="0" t="n">
        <f aca="false">Q1569+P1570</f>
        <v>7</v>
      </c>
    </row>
    <row r="1571" customFormat="false" ht="15" hidden="false" customHeight="false" outlineLevel="0" collapsed="false">
      <c r="C1571" s="0" t="n">
        <f aca="false">IF(AND(Comments!B1569='Policy card'!$C$3,Comments!N1569="Open"),1,0)</f>
        <v>0</v>
      </c>
      <c r="D1571" s="0" t="str">
        <f aca="false">IF(C1571=1,E1571,IF(P1571=1,$E$2003+Q1571,""))</f>
        <v/>
      </c>
      <c r="E1571" s="0" t="n">
        <f aca="false">E1570+C1571</f>
        <v>0</v>
      </c>
      <c r="P1571" s="0" t="n">
        <f aca="false">IF(AND(Comments!B1569='Policy card'!$C$3,Comments!N1569="Closed"),1,0)</f>
        <v>0</v>
      </c>
      <c r="Q1571" s="0" t="n">
        <f aca="false">Q1570+P1571</f>
        <v>7</v>
      </c>
    </row>
    <row r="1572" customFormat="false" ht="15" hidden="false" customHeight="false" outlineLevel="0" collapsed="false">
      <c r="C1572" s="0" t="n">
        <f aca="false">IF(AND(Comments!B1570='Policy card'!$C$3,Comments!N1570="Open"),1,0)</f>
        <v>0</v>
      </c>
      <c r="D1572" s="0" t="str">
        <f aca="false">IF(C1572=1,E1572,IF(P1572=1,$E$2003+Q1572,""))</f>
        <v/>
      </c>
      <c r="E1572" s="0" t="n">
        <f aca="false">E1571+C1572</f>
        <v>0</v>
      </c>
      <c r="P1572" s="0" t="n">
        <f aca="false">IF(AND(Comments!B1570='Policy card'!$C$3,Comments!N1570="Closed"),1,0)</f>
        <v>0</v>
      </c>
      <c r="Q1572" s="0" t="n">
        <f aca="false">Q1571+P1572</f>
        <v>7</v>
      </c>
    </row>
    <row r="1573" customFormat="false" ht="15" hidden="false" customHeight="false" outlineLevel="0" collapsed="false">
      <c r="C1573" s="0" t="n">
        <f aca="false">IF(AND(Comments!B1571='Policy card'!$C$3,Comments!N1571="Open"),1,0)</f>
        <v>0</v>
      </c>
      <c r="D1573" s="0" t="str">
        <f aca="false">IF(C1573=1,E1573,IF(P1573=1,$E$2003+Q1573,""))</f>
        <v/>
      </c>
      <c r="E1573" s="0" t="n">
        <f aca="false">E1572+C1573</f>
        <v>0</v>
      </c>
      <c r="P1573" s="0" t="n">
        <f aca="false">IF(AND(Comments!B1571='Policy card'!$C$3,Comments!N1571="Closed"),1,0)</f>
        <v>0</v>
      </c>
      <c r="Q1573" s="0" t="n">
        <f aca="false">Q1572+P1573</f>
        <v>7</v>
      </c>
    </row>
    <row r="1574" customFormat="false" ht="15" hidden="false" customHeight="false" outlineLevel="0" collapsed="false">
      <c r="C1574" s="0" t="n">
        <f aca="false">IF(AND(Comments!B1572='Policy card'!$C$3,Comments!N1572="Open"),1,0)</f>
        <v>0</v>
      </c>
      <c r="D1574" s="0" t="str">
        <f aca="false">IF(C1574=1,E1574,IF(P1574=1,$E$2003+Q1574,""))</f>
        <v/>
      </c>
      <c r="E1574" s="0" t="n">
        <f aca="false">E1573+C1574</f>
        <v>0</v>
      </c>
      <c r="P1574" s="0" t="n">
        <f aca="false">IF(AND(Comments!B1572='Policy card'!$C$3,Comments!N1572="Closed"),1,0)</f>
        <v>0</v>
      </c>
      <c r="Q1574" s="0" t="n">
        <f aca="false">Q1573+P1574</f>
        <v>7</v>
      </c>
    </row>
    <row r="1575" customFormat="false" ht="15" hidden="false" customHeight="false" outlineLevel="0" collapsed="false">
      <c r="C1575" s="0" t="n">
        <f aca="false">IF(AND(Comments!B1573='Policy card'!$C$3,Comments!N1573="Open"),1,0)</f>
        <v>0</v>
      </c>
      <c r="D1575" s="0" t="str">
        <f aca="false">IF(C1575=1,E1575,IF(P1575=1,$E$2003+Q1575,""))</f>
        <v/>
      </c>
      <c r="E1575" s="0" t="n">
        <f aca="false">E1574+C1575</f>
        <v>0</v>
      </c>
      <c r="P1575" s="0" t="n">
        <f aca="false">IF(AND(Comments!B1573='Policy card'!$C$3,Comments!N1573="Closed"),1,0)</f>
        <v>0</v>
      </c>
      <c r="Q1575" s="0" t="n">
        <f aca="false">Q1574+P1575</f>
        <v>7</v>
      </c>
    </row>
    <row r="1576" customFormat="false" ht="15" hidden="false" customHeight="false" outlineLevel="0" collapsed="false">
      <c r="C1576" s="0" t="n">
        <f aca="false">IF(AND(Comments!B1574='Policy card'!$C$3,Comments!N1574="Open"),1,0)</f>
        <v>0</v>
      </c>
      <c r="D1576" s="0" t="str">
        <f aca="false">IF(C1576=1,E1576,IF(P1576=1,$E$2003+Q1576,""))</f>
        <v/>
      </c>
      <c r="E1576" s="0" t="n">
        <f aca="false">E1575+C1576</f>
        <v>0</v>
      </c>
      <c r="P1576" s="0" t="n">
        <f aca="false">IF(AND(Comments!B1574='Policy card'!$C$3,Comments!N1574="Closed"),1,0)</f>
        <v>0</v>
      </c>
      <c r="Q1576" s="0" t="n">
        <f aca="false">Q1575+P1576</f>
        <v>7</v>
      </c>
    </row>
    <row r="1577" customFormat="false" ht="15" hidden="false" customHeight="false" outlineLevel="0" collapsed="false">
      <c r="C1577" s="0" t="n">
        <f aca="false">IF(AND(Comments!B1575='Policy card'!$C$3,Comments!N1575="Open"),1,0)</f>
        <v>0</v>
      </c>
      <c r="D1577" s="0" t="str">
        <f aca="false">IF(C1577=1,E1577,IF(P1577=1,$E$2003+Q1577,""))</f>
        <v/>
      </c>
      <c r="E1577" s="0" t="n">
        <f aca="false">E1576+C1577</f>
        <v>0</v>
      </c>
      <c r="P1577" s="0" t="n">
        <f aca="false">IF(AND(Comments!B1575='Policy card'!$C$3,Comments!N1575="Closed"),1,0)</f>
        <v>0</v>
      </c>
      <c r="Q1577" s="0" t="n">
        <f aca="false">Q1576+P1577</f>
        <v>7</v>
      </c>
    </row>
    <row r="1578" customFormat="false" ht="15" hidden="false" customHeight="false" outlineLevel="0" collapsed="false">
      <c r="C1578" s="0" t="n">
        <f aca="false">IF(AND(Comments!B1576='Policy card'!$C$3,Comments!N1576="Open"),1,0)</f>
        <v>0</v>
      </c>
      <c r="D1578" s="0" t="str">
        <f aca="false">IF(C1578=1,E1578,IF(P1578=1,$E$2003+Q1578,""))</f>
        <v/>
      </c>
      <c r="E1578" s="0" t="n">
        <f aca="false">E1577+C1578</f>
        <v>0</v>
      </c>
      <c r="P1578" s="0" t="n">
        <f aca="false">IF(AND(Comments!B1576='Policy card'!$C$3,Comments!N1576="Closed"),1,0)</f>
        <v>0</v>
      </c>
      <c r="Q1578" s="0" t="n">
        <f aca="false">Q1577+P1578</f>
        <v>7</v>
      </c>
    </row>
    <row r="1579" customFormat="false" ht="15" hidden="false" customHeight="false" outlineLevel="0" collapsed="false">
      <c r="C1579" s="0" t="n">
        <f aca="false">IF(AND(Comments!B1577='Policy card'!$C$3,Comments!N1577="Open"),1,0)</f>
        <v>0</v>
      </c>
      <c r="D1579" s="0" t="str">
        <f aca="false">IF(C1579=1,E1579,IF(P1579=1,$E$2003+Q1579,""))</f>
        <v/>
      </c>
      <c r="E1579" s="0" t="n">
        <f aca="false">E1578+C1579</f>
        <v>0</v>
      </c>
      <c r="P1579" s="0" t="n">
        <f aca="false">IF(AND(Comments!B1577='Policy card'!$C$3,Comments!N1577="Closed"),1,0)</f>
        <v>0</v>
      </c>
      <c r="Q1579" s="0" t="n">
        <f aca="false">Q1578+P1579</f>
        <v>7</v>
      </c>
    </row>
    <row r="1580" customFormat="false" ht="15" hidden="false" customHeight="false" outlineLevel="0" collapsed="false">
      <c r="C1580" s="0" t="n">
        <f aca="false">IF(AND(Comments!B1578='Policy card'!$C$3,Comments!N1578="Open"),1,0)</f>
        <v>0</v>
      </c>
      <c r="D1580" s="0" t="str">
        <f aca="false">IF(C1580=1,E1580,IF(P1580=1,$E$2003+Q1580,""))</f>
        <v/>
      </c>
      <c r="E1580" s="0" t="n">
        <f aca="false">E1579+C1580</f>
        <v>0</v>
      </c>
      <c r="P1580" s="0" t="n">
        <f aca="false">IF(AND(Comments!B1578='Policy card'!$C$3,Comments!N1578="Closed"),1,0)</f>
        <v>0</v>
      </c>
      <c r="Q1580" s="0" t="n">
        <f aca="false">Q1579+P1580</f>
        <v>7</v>
      </c>
    </row>
    <row r="1581" customFormat="false" ht="15" hidden="false" customHeight="false" outlineLevel="0" collapsed="false">
      <c r="C1581" s="0" t="n">
        <f aca="false">IF(AND(Comments!B1579='Policy card'!$C$3,Comments!N1579="Open"),1,0)</f>
        <v>0</v>
      </c>
      <c r="D1581" s="0" t="str">
        <f aca="false">IF(C1581=1,E1581,IF(P1581=1,$E$2003+Q1581,""))</f>
        <v/>
      </c>
      <c r="E1581" s="0" t="n">
        <f aca="false">E1580+C1581</f>
        <v>0</v>
      </c>
      <c r="P1581" s="0" t="n">
        <f aca="false">IF(AND(Comments!B1579='Policy card'!$C$3,Comments!N1579="Closed"),1,0)</f>
        <v>0</v>
      </c>
      <c r="Q1581" s="0" t="n">
        <f aca="false">Q1580+P1581</f>
        <v>7</v>
      </c>
    </row>
    <row r="1582" customFormat="false" ht="15" hidden="false" customHeight="false" outlineLevel="0" collapsed="false">
      <c r="C1582" s="0" t="n">
        <f aca="false">IF(AND(Comments!B1580='Policy card'!$C$3,Comments!N1580="Open"),1,0)</f>
        <v>0</v>
      </c>
      <c r="D1582" s="0" t="str">
        <f aca="false">IF(C1582=1,E1582,IF(P1582=1,$E$2003+Q1582,""))</f>
        <v/>
      </c>
      <c r="E1582" s="0" t="n">
        <f aca="false">E1581+C1582</f>
        <v>0</v>
      </c>
      <c r="P1582" s="0" t="n">
        <f aca="false">IF(AND(Comments!B1580='Policy card'!$C$3,Comments!N1580="Closed"),1,0)</f>
        <v>0</v>
      </c>
      <c r="Q1582" s="0" t="n">
        <f aca="false">Q1581+P1582</f>
        <v>7</v>
      </c>
    </row>
    <row r="1583" customFormat="false" ht="15" hidden="false" customHeight="false" outlineLevel="0" collapsed="false">
      <c r="C1583" s="0" t="n">
        <f aca="false">IF(AND(Comments!B1581='Policy card'!$C$3,Comments!N1581="Open"),1,0)</f>
        <v>0</v>
      </c>
      <c r="D1583" s="0" t="str">
        <f aca="false">IF(C1583=1,E1583,IF(P1583=1,$E$2003+Q1583,""))</f>
        <v/>
      </c>
      <c r="E1583" s="0" t="n">
        <f aca="false">E1582+C1583</f>
        <v>0</v>
      </c>
      <c r="P1583" s="0" t="n">
        <f aca="false">IF(AND(Comments!B1581='Policy card'!$C$3,Comments!N1581="Closed"),1,0)</f>
        <v>0</v>
      </c>
      <c r="Q1583" s="0" t="n">
        <f aca="false">Q1582+P1583</f>
        <v>7</v>
      </c>
    </row>
    <row r="1584" customFormat="false" ht="15" hidden="false" customHeight="false" outlineLevel="0" collapsed="false">
      <c r="C1584" s="0" t="n">
        <f aca="false">IF(AND(Comments!B1582='Policy card'!$C$3,Comments!N1582="Open"),1,0)</f>
        <v>0</v>
      </c>
      <c r="D1584" s="0" t="str">
        <f aca="false">IF(C1584=1,E1584,IF(P1584=1,$E$2003+Q1584,""))</f>
        <v/>
      </c>
      <c r="E1584" s="0" t="n">
        <f aca="false">E1583+C1584</f>
        <v>0</v>
      </c>
      <c r="P1584" s="0" t="n">
        <f aca="false">IF(AND(Comments!B1582='Policy card'!$C$3,Comments!N1582="Closed"),1,0)</f>
        <v>0</v>
      </c>
      <c r="Q1584" s="0" t="n">
        <f aca="false">Q1583+P1584</f>
        <v>7</v>
      </c>
    </row>
    <row r="1585" customFormat="false" ht="15" hidden="false" customHeight="false" outlineLevel="0" collapsed="false">
      <c r="C1585" s="0" t="n">
        <f aca="false">IF(AND(Comments!B1583='Policy card'!$C$3,Comments!N1583="Open"),1,0)</f>
        <v>0</v>
      </c>
      <c r="D1585" s="0" t="str">
        <f aca="false">IF(C1585=1,E1585,IF(P1585=1,$E$2003+Q1585,""))</f>
        <v/>
      </c>
      <c r="E1585" s="0" t="n">
        <f aca="false">E1584+C1585</f>
        <v>0</v>
      </c>
      <c r="P1585" s="0" t="n">
        <f aca="false">IF(AND(Comments!B1583='Policy card'!$C$3,Comments!N1583="Closed"),1,0)</f>
        <v>0</v>
      </c>
      <c r="Q1585" s="0" t="n">
        <f aca="false">Q1584+P1585</f>
        <v>7</v>
      </c>
    </row>
    <row r="1586" customFormat="false" ht="15" hidden="false" customHeight="false" outlineLevel="0" collapsed="false">
      <c r="C1586" s="0" t="n">
        <f aca="false">IF(AND(Comments!B1584='Policy card'!$C$3,Comments!N1584="Open"),1,0)</f>
        <v>0</v>
      </c>
      <c r="D1586" s="0" t="str">
        <f aca="false">IF(C1586=1,E1586,IF(P1586=1,$E$2003+Q1586,""))</f>
        <v/>
      </c>
      <c r="E1586" s="0" t="n">
        <f aca="false">E1585+C1586</f>
        <v>0</v>
      </c>
      <c r="P1586" s="0" t="n">
        <f aca="false">IF(AND(Comments!B1584='Policy card'!$C$3,Comments!N1584="Closed"),1,0)</f>
        <v>0</v>
      </c>
      <c r="Q1586" s="0" t="n">
        <f aca="false">Q1585+P1586</f>
        <v>7</v>
      </c>
    </row>
    <row r="1587" customFormat="false" ht="15" hidden="false" customHeight="false" outlineLevel="0" collapsed="false">
      <c r="C1587" s="0" t="n">
        <f aca="false">IF(AND(Comments!B1585='Policy card'!$C$3,Comments!N1585="Open"),1,0)</f>
        <v>0</v>
      </c>
      <c r="D1587" s="0" t="str">
        <f aca="false">IF(C1587=1,E1587,IF(P1587=1,$E$2003+Q1587,""))</f>
        <v/>
      </c>
      <c r="E1587" s="0" t="n">
        <f aca="false">E1586+C1587</f>
        <v>0</v>
      </c>
      <c r="P1587" s="0" t="n">
        <f aca="false">IF(AND(Comments!B1585='Policy card'!$C$3,Comments!N1585="Closed"),1,0)</f>
        <v>0</v>
      </c>
      <c r="Q1587" s="0" t="n">
        <f aca="false">Q1586+P1587</f>
        <v>7</v>
      </c>
    </row>
    <row r="1588" customFormat="false" ht="15" hidden="false" customHeight="false" outlineLevel="0" collapsed="false">
      <c r="C1588" s="0" t="n">
        <f aca="false">IF(AND(Comments!B1586='Policy card'!$C$3,Comments!N1586="Open"),1,0)</f>
        <v>0</v>
      </c>
      <c r="D1588" s="0" t="str">
        <f aca="false">IF(C1588=1,E1588,IF(P1588=1,$E$2003+Q1588,""))</f>
        <v/>
      </c>
      <c r="E1588" s="0" t="n">
        <f aca="false">E1587+C1588</f>
        <v>0</v>
      </c>
      <c r="P1588" s="0" t="n">
        <f aca="false">IF(AND(Comments!B1586='Policy card'!$C$3,Comments!N1586="Closed"),1,0)</f>
        <v>0</v>
      </c>
      <c r="Q1588" s="0" t="n">
        <f aca="false">Q1587+P1588</f>
        <v>7</v>
      </c>
    </row>
    <row r="1589" customFormat="false" ht="15" hidden="false" customHeight="false" outlineLevel="0" collapsed="false">
      <c r="C1589" s="0" t="n">
        <f aca="false">IF(AND(Comments!B1587='Policy card'!$C$3,Comments!N1587="Open"),1,0)</f>
        <v>0</v>
      </c>
      <c r="D1589" s="0" t="str">
        <f aca="false">IF(C1589=1,E1589,IF(P1589=1,$E$2003+Q1589,""))</f>
        <v/>
      </c>
      <c r="E1589" s="0" t="n">
        <f aca="false">E1588+C1589</f>
        <v>0</v>
      </c>
      <c r="P1589" s="0" t="n">
        <f aca="false">IF(AND(Comments!B1587='Policy card'!$C$3,Comments!N1587="Closed"),1,0)</f>
        <v>0</v>
      </c>
      <c r="Q1589" s="0" t="n">
        <f aca="false">Q1588+P1589</f>
        <v>7</v>
      </c>
    </row>
    <row r="1590" customFormat="false" ht="15" hidden="false" customHeight="false" outlineLevel="0" collapsed="false">
      <c r="C1590" s="0" t="n">
        <f aca="false">IF(AND(Comments!B1588='Policy card'!$C$3,Comments!N1588="Open"),1,0)</f>
        <v>0</v>
      </c>
      <c r="D1590" s="0" t="str">
        <f aca="false">IF(C1590=1,E1590,IF(P1590=1,$E$2003+Q1590,""))</f>
        <v/>
      </c>
      <c r="E1590" s="0" t="n">
        <f aca="false">E1589+C1590</f>
        <v>0</v>
      </c>
      <c r="P1590" s="0" t="n">
        <f aca="false">IF(AND(Comments!B1588='Policy card'!$C$3,Comments!N1588="Closed"),1,0)</f>
        <v>0</v>
      </c>
      <c r="Q1590" s="0" t="n">
        <f aca="false">Q1589+P1590</f>
        <v>7</v>
      </c>
    </row>
    <row r="1591" customFormat="false" ht="15" hidden="false" customHeight="false" outlineLevel="0" collapsed="false">
      <c r="C1591" s="0" t="n">
        <f aca="false">IF(AND(Comments!B1589='Policy card'!$C$3,Comments!N1589="Open"),1,0)</f>
        <v>0</v>
      </c>
      <c r="D1591" s="0" t="str">
        <f aca="false">IF(C1591=1,E1591,IF(P1591=1,$E$2003+Q1591,""))</f>
        <v/>
      </c>
      <c r="E1591" s="0" t="n">
        <f aca="false">E1590+C1591</f>
        <v>0</v>
      </c>
      <c r="P1591" s="0" t="n">
        <f aca="false">IF(AND(Comments!B1589='Policy card'!$C$3,Comments!N1589="Closed"),1,0)</f>
        <v>0</v>
      </c>
      <c r="Q1591" s="0" t="n">
        <f aca="false">Q1590+P1591</f>
        <v>7</v>
      </c>
    </row>
    <row r="1592" customFormat="false" ht="15" hidden="false" customHeight="false" outlineLevel="0" collapsed="false">
      <c r="C1592" s="0" t="n">
        <f aca="false">IF(AND(Comments!B1590='Policy card'!$C$3,Comments!N1590="Open"),1,0)</f>
        <v>0</v>
      </c>
      <c r="D1592" s="0" t="str">
        <f aca="false">IF(C1592=1,E1592,IF(P1592=1,$E$2003+Q1592,""))</f>
        <v/>
      </c>
      <c r="E1592" s="0" t="n">
        <f aca="false">E1591+C1592</f>
        <v>0</v>
      </c>
      <c r="P1592" s="0" t="n">
        <f aca="false">IF(AND(Comments!B1590='Policy card'!$C$3,Comments!N1590="Closed"),1,0)</f>
        <v>0</v>
      </c>
      <c r="Q1592" s="0" t="n">
        <f aca="false">Q1591+P1592</f>
        <v>7</v>
      </c>
    </row>
    <row r="1593" customFormat="false" ht="15" hidden="false" customHeight="false" outlineLevel="0" collapsed="false">
      <c r="C1593" s="0" t="n">
        <f aca="false">IF(AND(Comments!B1591='Policy card'!$C$3,Comments!N1591="Open"),1,0)</f>
        <v>0</v>
      </c>
      <c r="D1593" s="0" t="str">
        <f aca="false">IF(C1593=1,E1593,IF(P1593=1,$E$2003+Q1593,""))</f>
        <v/>
      </c>
      <c r="E1593" s="0" t="n">
        <f aca="false">E1592+C1593</f>
        <v>0</v>
      </c>
      <c r="P1593" s="0" t="n">
        <f aca="false">IF(AND(Comments!B1591='Policy card'!$C$3,Comments!N1591="Closed"),1,0)</f>
        <v>0</v>
      </c>
      <c r="Q1593" s="0" t="n">
        <f aca="false">Q1592+P1593</f>
        <v>7</v>
      </c>
    </row>
    <row r="1594" customFormat="false" ht="15" hidden="false" customHeight="false" outlineLevel="0" collapsed="false">
      <c r="C1594" s="0" t="n">
        <f aca="false">IF(AND(Comments!B1592='Policy card'!$C$3,Comments!N1592="Open"),1,0)</f>
        <v>0</v>
      </c>
      <c r="D1594" s="0" t="str">
        <f aca="false">IF(C1594=1,E1594,IF(P1594=1,$E$2003+Q1594,""))</f>
        <v/>
      </c>
      <c r="E1594" s="0" t="n">
        <f aca="false">E1593+C1594</f>
        <v>0</v>
      </c>
      <c r="P1594" s="0" t="n">
        <f aca="false">IF(AND(Comments!B1592='Policy card'!$C$3,Comments!N1592="Closed"),1,0)</f>
        <v>0</v>
      </c>
      <c r="Q1594" s="0" t="n">
        <f aca="false">Q1593+P1594</f>
        <v>7</v>
      </c>
    </row>
    <row r="1595" customFormat="false" ht="15" hidden="false" customHeight="false" outlineLevel="0" collapsed="false">
      <c r="C1595" s="0" t="n">
        <f aca="false">IF(AND(Comments!B1593='Policy card'!$C$3,Comments!N1593="Open"),1,0)</f>
        <v>0</v>
      </c>
      <c r="D1595" s="0" t="str">
        <f aca="false">IF(C1595=1,E1595,IF(P1595=1,$E$2003+Q1595,""))</f>
        <v/>
      </c>
      <c r="E1595" s="0" t="n">
        <f aca="false">E1594+C1595</f>
        <v>0</v>
      </c>
      <c r="P1595" s="0" t="n">
        <f aca="false">IF(AND(Comments!B1593='Policy card'!$C$3,Comments!N1593="Closed"),1,0)</f>
        <v>0</v>
      </c>
      <c r="Q1595" s="0" t="n">
        <f aca="false">Q1594+P1595</f>
        <v>7</v>
      </c>
    </row>
    <row r="1596" customFormat="false" ht="15" hidden="false" customHeight="false" outlineLevel="0" collapsed="false">
      <c r="C1596" s="0" t="n">
        <f aca="false">IF(AND(Comments!B1594='Policy card'!$C$3,Comments!N1594="Open"),1,0)</f>
        <v>0</v>
      </c>
      <c r="D1596" s="0" t="str">
        <f aca="false">IF(C1596=1,E1596,IF(P1596=1,$E$2003+Q1596,""))</f>
        <v/>
      </c>
      <c r="E1596" s="0" t="n">
        <f aca="false">E1595+C1596</f>
        <v>0</v>
      </c>
      <c r="P1596" s="0" t="n">
        <f aca="false">IF(AND(Comments!B1594='Policy card'!$C$3,Comments!N1594="Closed"),1,0)</f>
        <v>0</v>
      </c>
      <c r="Q1596" s="0" t="n">
        <f aca="false">Q1595+P1596</f>
        <v>7</v>
      </c>
    </row>
    <row r="1597" customFormat="false" ht="15" hidden="false" customHeight="false" outlineLevel="0" collapsed="false">
      <c r="C1597" s="0" t="n">
        <f aca="false">IF(AND(Comments!B1595='Policy card'!$C$3,Comments!N1595="Open"),1,0)</f>
        <v>0</v>
      </c>
      <c r="D1597" s="0" t="str">
        <f aca="false">IF(C1597=1,E1597,IF(P1597=1,$E$2003+Q1597,""))</f>
        <v/>
      </c>
      <c r="E1597" s="0" t="n">
        <f aca="false">E1596+C1597</f>
        <v>0</v>
      </c>
      <c r="P1597" s="0" t="n">
        <f aca="false">IF(AND(Comments!B1595='Policy card'!$C$3,Comments!N1595="Closed"),1,0)</f>
        <v>0</v>
      </c>
      <c r="Q1597" s="0" t="n">
        <f aca="false">Q1596+P1597</f>
        <v>7</v>
      </c>
    </row>
    <row r="1598" customFormat="false" ht="15" hidden="false" customHeight="false" outlineLevel="0" collapsed="false">
      <c r="C1598" s="0" t="n">
        <f aca="false">IF(AND(Comments!B1596='Policy card'!$C$3,Comments!N1596="Open"),1,0)</f>
        <v>0</v>
      </c>
      <c r="D1598" s="0" t="str">
        <f aca="false">IF(C1598=1,E1598,IF(P1598=1,$E$2003+Q1598,""))</f>
        <v/>
      </c>
      <c r="E1598" s="0" t="n">
        <f aca="false">E1597+C1598</f>
        <v>0</v>
      </c>
      <c r="P1598" s="0" t="n">
        <f aca="false">IF(AND(Comments!B1596='Policy card'!$C$3,Comments!N1596="Closed"),1,0)</f>
        <v>0</v>
      </c>
      <c r="Q1598" s="0" t="n">
        <f aca="false">Q1597+P1598</f>
        <v>7</v>
      </c>
    </row>
    <row r="1599" customFormat="false" ht="15" hidden="false" customHeight="false" outlineLevel="0" collapsed="false">
      <c r="C1599" s="0" t="n">
        <f aca="false">IF(AND(Comments!B1597='Policy card'!$C$3,Comments!N1597="Open"),1,0)</f>
        <v>0</v>
      </c>
      <c r="D1599" s="0" t="str">
        <f aca="false">IF(C1599=1,E1599,IF(P1599=1,$E$2003+Q1599,""))</f>
        <v/>
      </c>
      <c r="E1599" s="0" t="n">
        <f aca="false">E1598+C1599</f>
        <v>0</v>
      </c>
      <c r="P1599" s="0" t="n">
        <f aca="false">IF(AND(Comments!B1597='Policy card'!$C$3,Comments!N1597="Closed"),1,0)</f>
        <v>0</v>
      </c>
      <c r="Q1599" s="0" t="n">
        <f aca="false">Q1598+P1599</f>
        <v>7</v>
      </c>
    </row>
    <row r="1600" customFormat="false" ht="15" hidden="false" customHeight="false" outlineLevel="0" collapsed="false">
      <c r="C1600" s="0" t="n">
        <f aca="false">IF(AND(Comments!B1598='Policy card'!$C$3,Comments!N1598="Open"),1,0)</f>
        <v>0</v>
      </c>
      <c r="D1600" s="0" t="str">
        <f aca="false">IF(C1600=1,E1600,IF(P1600=1,$E$2003+Q1600,""))</f>
        <v/>
      </c>
      <c r="E1600" s="0" t="n">
        <f aca="false">E1599+C1600</f>
        <v>0</v>
      </c>
      <c r="P1600" s="0" t="n">
        <f aca="false">IF(AND(Comments!B1598='Policy card'!$C$3,Comments!N1598="Closed"),1,0)</f>
        <v>0</v>
      </c>
      <c r="Q1600" s="0" t="n">
        <f aca="false">Q1599+P1600</f>
        <v>7</v>
      </c>
    </row>
    <row r="1601" customFormat="false" ht="15" hidden="false" customHeight="false" outlineLevel="0" collapsed="false">
      <c r="C1601" s="0" t="n">
        <f aca="false">IF(AND(Comments!B1599='Policy card'!$C$3,Comments!N1599="Open"),1,0)</f>
        <v>0</v>
      </c>
      <c r="D1601" s="0" t="str">
        <f aca="false">IF(C1601=1,E1601,IF(P1601=1,$E$2003+Q1601,""))</f>
        <v/>
      </c>
      <c r="E1601" s="0" t="n">
        <f aca="false">E1600+C1601</f>
        <v>0</v>
      </c>
      <c r="P1601" s="0" t="n">
        <f aca="false">IF(AND(Comments!B1599='Policy card'!$C$3,Comments!N1599="Closed"),1,0)</f>
        <v>0</v>
      </c>
      <c r="Q1601" s="0" t="n">
        <f aca="false">Q1600+P1601</f>
        <v>7</v>
      </c>
    </row>
    <row r="1602" customFormat="false" ht="15" hidden="false" customHeight="false" outlineLevel="0" collapsed="false">
      <c r="C1602" s="0" t="n">
        <f aca="false">IF(AND(Comments!B1600='Policy card'!$C$3,Comments!N1600="Open"),1,0)</f>
        <v>0</v>
      </c>
      <c r="D1602" s="0" t="str">
        <f aca="false">IF(C1602=1,E1602,IF(P1602=1,$E$2003+Q1602,""))</f>
        <v/>
      </c>
      <c r="E1602" s="0" t="n">
        <f aca="false">E1601+C1602</f>
        <v>0</v>
      </c>
      <c r="P1602" s="0" t="n">
        <f aca="false">IF(AND(Comments!B1600='Policy card'!$C$3,Comments!N1600="Closed"),1,0)</f>
        <v>0</v>
      </c>
      <c r="Q1602" s="0" t="n">
        <f aca="false">Q1601+P1602</f>
        <v>7</v>
      </c>
    </row>
    <row r="1603" customFormat="false" ht="15" hidden="false" customHeight="false" outlineLevel="0" collapsed="false">
      <c r="C1603" s="0" t="n">
        <f aca="false">IF(AND(Comments!B1601='Policy card'!$C$3,Comments!N1601="Open"),1,0)</f>
        <v>0</v>
      </c>
      <c r="D1603" s="0" t="str">
        <f aca="false">IF(C1603=1,E1603,IF(P1603=1,$E$2003+Q1603,""))</f>
        <v/>
      </c>
      <c r="E1603" s="0" t="n">
        <f aca="false">E1602+C1603</f>
        <v>0</v>
      </c>
      <c r="P1603" s="0" t="n">
        <f aca="false">IF(AND(Comments!B1601='Policy card'!$C$3,Comments!N1601="Closed"),1,0)</f>
        <v>0</v>
      </c>
      <c r="Q1603" s="0" t="n">
        <f aca="false">Q1602+P1603</f>
        <v>7</v>
      </c>
    </row>
    <row r="1604" customFormat="false" ht="15" hidden="false" customHeight="false" outlineLevel="0" collapsed="false">
      <c r="C1604" s="0" t="n">
        <f aca="false">IF(AND(Comments!B1602='Policy card'!$C$3,Comments!N1602="Open"),1,0)</f>
        <v>0</v>
      </c>
      <c r="D1604" s="0" t="str">
        <f aca="false">IF(C1604=1,E1604,IF(P1604=1,$E$2003+Q1604,""))</f>
        <v/>
      </c>
      <c r="E1604" s="0" t="n">
        <f aca="false">E1603+C1604</f>
        <v>0</v>
      </c>
      <c r="P1604" s="0" t="n">
        <f aca="false">IF(AND(Comments!B1602='Policy card'!$C$3,Comments!N1602="Closed"),1,0)</f>
        <v>0</v>
      </c>
      <c r="Q1604" s="0" t="n">
        <f aca="false">Q1603+P1604</f>
        <v>7</v>
      </c>
    </row>
    <row r="1605" customFormat="false" ht="15" hidden="false" customHeight="false" outlineLevel="0" collapsed="false">
      <c r="C1605" s="0" t="n">
        <f aca="false">IF(AND(Comments!B1603='Policy card'!$C$3,Comments!N1603="Open"),1,0)</f>
        <v>0</v>
      </c>
      <c r="D1605" s="0" t="str">
        <f aca="false">IF(C1605=1,E1605,IF(P1605=1,$E$2003+Q1605,""))</f>
        <v/>
      </c>
      <c r="E1605" s="0" t="n">
        <f aca="false">E1604+C1605</f>
        <v>0</v>
      </c>
      <c r="P1605" s="0" t="n">
        <f aca="false">IF(AND(Comments!B1603='Policy card'!$C$3,Comments!N1603="Closed"),1,0)</f>
        <v>0</v>
      </c>
      <c r="Q1605" s="0" t="n">
        <f aca="false">Q1604+P1605</f>
        <v>7</v>
      </c>
    </row>
    <row r="1606" customFormat="false" ht="15" hidden="false" customHeight="false" outlineLevel="0" collapsed="false">
      <c r="C1606" s="0" t="n">
        <f aca="false">IF(AND(Comments!B1604='Policy card'!$C$3,Comments!N1604="Open"),1,0)</f>
        <v>0</v>
      </c>
      <c r="D1606" s="0" t="str">
        <f aca="false">IF(C1606=1,E1606,IF(P1606=1,$E$2003+Q1606,""))</f>
        <v/>
      </c>
      <c r="E1606" s="0" t="n">
        <f aca="false">E1605+C1606</f>
        <v>0</v>
      </c>
      <c r="P1606" s="0" t="n">
        <f aca="false">IF(AND(Comments!B1604='Policy card'!$C$3,Comments!N1604="Closed"),1,0)</f>
        <v>0</v>
      </c>
      <c r="Q1606" s="0" t="n">
        <f aca="false">Q1605+P1606</f>
        <v>7</v>
      </c>
    </row>
    <row r="1607" customFormat="false" ht="15" hidden="false" customHeight="false" outlineLevel="0" collapsed="false">
      <c r="C1607" s="0" t="n">
        <f aca="false">IF(AND(Comments!B1605='Policy card'!$C$3,Comments!N1605="Open"),1,0)</f>
        <v>0</v>
      </c>
      <c r="D1607" s="0" t="str">
        <f aca="false">IF(C1607=1,E1607,IF(P1607=1,$E$2003+Q1607,""))</f>
        <v/>
      </c>
      <c r="E1607" s="0" t="n">
        <f aca="false">E1606+C1607</f>
        <v>0</v>
      </c>
      <c r="P1607" s="0" t="n">
        <f aca="false">IF(AND(Comments!B1605='Policy card'!$C$3,Comments!N1605="Closed"),1,0)</f>
        <v>0</v>
      </c>
      <c r="Q1607" s="0" t="n">
        <f aca="false">Q1606+P1607</f>
        <v>7</v>
      </c>
    </row>
    <row r="1608" customFormat="false" ht="15" hidden="false" customHeight="false" outlineLevel="0" collapsed="false">
      <c r="C1608" s="0" t="n">
        <f aca="false">IF(AND(Comments!B1606='Policy card'!$C$3,Comments!N1606="Open"),1,0)</f>
        <v>0</v>
      </c>
      <c r="D1608" s="0" t="str">
        <f aca="false">IF(C1608=1,E1608,IF(P1608=1,$E$2003+Q1608,""))</f>
        <v/>
      </c>
      <c r="E1608" s="0" t="n">
        <f aca="false">E1607+C1608</f>
        <v>0</v>
      </c>
      <c r="P1608" s="0" t="n">
        <f aca="false">IF(AND(Comments!B1606='Policy card'!$C$3,Comments!N1606="Closed"),1,0)</f>
        <v>0</v>
      </c>
      <c r="Q1608" s="0" t="n">
        <f aca="false">Q1607+P1608</f>
        <v>7</v>
      </c>
    </row>
    <row r="1609" customFormat="false" ht="15" hidden="false" customHeight="false" outlineLevel="0" collapsed="false">
      <c r="C1609" s="0" t="n">
        <f aca="false">IF(AND(Comments!B1607='Policy card'!$C$3,Comments!N1607="Open"),1,0)</f>
        <v>0</v>
      </c>
      <c r="D1609" s="0" t="str">
        <f aca="false">IF(C1609=1,E1609,IF(P1609=1,$E$2003+Q1609,""))</f>
        <v/>
      </c>
      <c r="E1609" s="0" t="n">
        <f aca="false">E1608+C1609</f>
        <v>0</v>
      </c>
      <c r="P1609" s="0" t="n">
        <f aca="false">IF(AND(Comments!B1607='Policy card'!$C$3,Comments!N1607="Closed"),1,0)</f>
        <v>0</v>
      </c>
      <c r="Q1609" s="0" t="n">
        <f aca="false">Q1608+P1609</f>
        <v>7</v>
      </c>
    </row>
    <row r="1610" customFormat="false" ht="15" hidden="false" customHeight="false" outlineLevel="0" collapsed="false">
      <c r="C1610" s="0" t="n">
        <f aca="false">IF(AND(Comments!B1608='Policy card'!$C$3,Comments!N1608="Open"),1,0)</f>
        <v>0</v>
      </c>
      <c r="D1610" s="0" t="str">
        <f aca="false">IF(C1610=1,E1610,IF(P1610=1,$E$2003+Q1610,""))</f>
        <v/>
      </c>
      <c r="E1610" s="0" t="n">
        <f aca="false">E1609+C1610</f>
        <v>0</v>
      </c>
      <c r="P1610" s="0" t="n">
        <f aca="false">IF(AND(Comments!B1608='Policy card'!$C$3,Comments!N1608="Closed"),1,0)</f>
        <v>0</v>
      </c>
      <c r="Q1610" s="0" t="n">
        <f aca="false">Q1609+P1610</f>
        <v>7</v>
      </c>
    </row>
    <row r="1611" customFormat="false" ht="15" hidden="false" customHeight="false" outlineLevel="0" collapsed="false">
      <c r="C1611" s="0" t="n">
        <f aca="false">IF(AND(Comments!B1609='Policy card'!$C$3,Comments!N1609="Open"),1,0)</f>
        <v>0</v>
      </c>
      <c r="D1611" s="0" t="str">
        <f aca="false">IF(C1611=1,E1611,IF(P1611=1,$E$2003+Q1611,""))</f>
        <v/>
      </c>
      <c r="E1611" s="0" t="n">
        <f aca="false">E1610+C1611</f>
        <v>0</v>
      </c>
      <c r="P1611" s="0" t="n">
        <f aca="false">IF(AND(Comments!B1609='Policy card'!$C$3,Comments!N1609="Closed"),1,0)</f>
        <v>0</v>
      </c>
      <c r="Q1611" s="0" t="n">
        <f aca="false">Q1610+P1611</f>
        <v>7</v>
      </c>
    </row>
    <row r="1612" customFormat="false" ht="15" hidden="false" customHeight="false" outlineLevel="0" collapsed="false">
      <c r="C1612" s="0" t="n">
        <f aca="false">IF(AND(Comments!B1610='Policy card'!$C$3,Comments!N1610="Open"),1,0)</f>
        <v>0</v>
      </c>
      <c r="D1612" s="0" t="str">
        <f aca="false">IF(C1612=1,E1612,IF(P1612=1,$E$2003+Q1612,""))</f>
        <v/>
      </c>
      <c r="E1612" s="0" t="n">
        <f aca="false">E1611+C1612</f>
        <v>0</v>
      </c>
      <c r="P1612" s="0" t="n">
        <f aca="false">IF(AND(Comments!B1610='Policy card'!$C$3,Comments!N1610="Closed"),1,0)</f>
        <v>0</v>
      </c>
      <c r="Q1612" s="0" t="n">
        <f aca="false">Q1611+P1612</f>
        <v>7</v>
      </c>
    </row>
    <row r="1613" customFormat="false" ht="15" hidden="false" customHeight="false" outlineLevel="0" collapsed="false">
      <c r="C1613" s="0" t="n">
        <f aca="false">IF(AND(Comments!B1611='Policy card'!$C$3,Comments!N1611="Open"),1,0)</f>
        <v>0</v>
      </c>
      <c r="D1613" s="0" t="str">
        <f aca="false">IF(C1613=1,E1613,IF(P1613=1,$E$2003+Q1613,""))</f>
        <v/>
      </c>
      <c r="E1613" s="0" t="n">
        <f aca="false">E1612+C1613</f>
        <v>0</v>
      </c>
      <c r="P1613" s="0" t="n">
        <f aca="false">IF(AND(Comments!B1611='Policy card'!$C$3,Comments!N1611="Closed"),1,0)</f>
        <v>0</v>
      </c>
      <c r="Q1613" s="0" t="n">
        <f aca="false">Q1612+P1613</f>
        <v>7</v>
      </c>
    </row>
    <row r="1614" customFormat="false" ht="15" hidden="false" customHeight="false" outlineLevel="0" collapsed="false">
      <c r="C1614" s="0" t="n">
        <f aca="false">IF(AND(Comments!B1612='Policy card'!$C$3,Comments!N1612="Open"),1,0)</f>
        <v>0</v>
      </c>
      <c r="D1614" s="0" t="str">
        <f aca="false">IF(C1614=1,E1614,IF(P1614=1,$E$2003+Q1614,""))</f>
        <v/>
      </c>
      <c r="E1614" s="0" t="n">
        <f aca="false">E1613+C1614</f>
        <v>0</v>
      </c>
      <c r="P1614" s="0" t="n">
        <f aca="false">IF(AND(Comments!B1612='Policy card'!$C$3,Comments!N1612="Closed"),1,0)</f>
        <v>0</v>
      </c>
      <c r="Q1614" s="0" t="n">
        <f aca="false">Q1613+P1614</f>
        <v>7</v>
      </c>
    </row>
    <row r="1615" customFormat="false" ht="15" hidden="false" customHeight="false" outlineLevel="0" collapsed="false">
      <c r="C1615" s="0" t="n">
        <f aca="false">IF(AND(Comments!B1613='Policy card'!$C$3,Comments!N1613="Open"),1,0)</f>
        <v>0</v>
      </c>
      <c r="D1615" s="0" t="str">
        <f aca="false">IF(C1615=1,E1615,IF(P1615=1,$E$2003+Q1615,""))</f>
        <v/>
      </c>
      <c r="E1615" s="0" t="n">
        <f aca="false">E1614+C1615</f>
        <v>0</v>
      </c>
      <c r="P1615" s="0" t="n">
        <f aca="false">IF(AND(Comments!B1613='Policy card'!$C$3,Comments!N1613="Closed"),1,0)</f>
        <v>0</v>
      </c>
      <c r="Q1615" s="0" t="n">
        <f aca="false">Q1614+P1615</f>
        <v>7</v>
      </c>
    </row>
    <row r="1616" customFormat="false" ht="15" hidden="false" customHeight="false" outlineLevel="0" collapsed="false">
      <c r="C1616" s="0" t="n">
        <f aca="false">IF(AND(Comments!B1614='Policy card'!$C$3,Comments!N1614="Open"),1,0)</f>
        <v>0</v>
      </c>
      <c r="D1616" s="0" t="str">
        <f aca="false">IF(C1616=1,E1616,IF(P1616=1,$E$2003+Q1616,""))</f>
        <v/>
      </c>
      <c r="E1616" s="0" t="n">
        <f aca="false">E1615+C1616</f>
        <v>0</v>
      </c>
      <c r="P1616" s="0" t="n">
        <f aca="false">IF(AND(Comments!B1614='Policy card'!$C$3,Comments!N1614="Closed"),1,0)</f>
        <v>0</v>
      </c>
      <c r="Q1616" s="0" t="n">
        <f aca="false">Q1615+P1616</f>
        <v>7</v>
      </c>
    </row>
    <row r="1617" customFormat="false" ht="15" hidden="false" customHeight="false" outlineLevel="0" collapsed="false">
      <c r="C1617" s="0" t="n">
        <f aca="false">IF(AND(Comments!B1615='Policy card'!$C$3,Comments!N1615="Open"),1,0)</f>
        <v>0</v>
      </c>
      <c r="D1617" s="0" t="str">
        <f aca="false">IF(C1617=1,E1617,IF(P1617=1,$E$2003+Q1617,""))</f>
        <v/>
      </c>
      <c r="E1617" s="0" t="n">
        <f aca="false">E1616+C1617</f>
        <v>0</v>
      </c>
      <c r="P1617" s="0" t="n">
        <f aca="false">IF(AND(Comments!B1615='Policy card'!$C$3,Comments!N1615="Closed"),1,0)</f>
        <v>0</v>
      </c>
      <c r="Q1617" s="0" t="n">
        <f aca="false">Q1616+P1617</f>
        <v>7</v>
      </c>
    </row>
    <row r="1618" customFormat="false" ht="15" hidden="false" customHeight="false" outlineLevel="0" collapsed="false">
      <c r="C1618" s="0" t="n">
        <f aca="false">IF(AND(Comments!B1616='Policy card'!$C$3,Comments!N1616="Open"),1,0)</f>
        <v>0</v>
      </c>
      <c r="D1618" s="0" t="str">
        <f aca="false">IF(C1618=1,E1618,IF(P1618=1,$E$2003+Q1618,""))</f>
        <v/>
      </c>
      <c r="E1618" s="0" t="n">
        <f aca="false">E1617+C1618</f>
        <v>0</v>
      </c>
      <c r="P1618" s="0" t="n">
        <f aca="false">IF(AND(Comments!B1616='Policy card'!$C$3,Comments!N1616="Closed"),1,0)</f>
        <v>0</v>
      </c>
      <c r="Q1618" s="0" t="n">
        <f aca="false">Q1617+P1618</f>
        <v>7</v>
      </c>
    </row>
    <row r="1619" customFormat="false" ht="15" hidden="false" customHeight="false" outlineLevel="0" collapsed="false">
      <c r="C1619" s="0" t="n">
        <f aca="false">IF(AND(Comments!B1617='Policy card'!$C$3,Comments!N1617="Open"),1,0)</f>
        <v>0</v>
      </c>
      <c r="D1619" s="0" t="str">
        <f aca="false">IF(C1619=1,E1619,IF(P1619=1,$E$2003+Q1619,""))</f>
        <v/>
      </c>
      <c r="E1619" s="0" t="n">
        <f aca="false">E1618+C1619</f>
        <v>0</v>
      </c>
      <c r="P1619" s="0" t="n">
        <f aca="false">IF(AND(Comments!B1617='Policy card'!$C$3,Comments!N1617="Closed"),1,0)</f>
        <v>0</v>
      </c>
      <c r="Q1619" s="0" t="n">
        <f aca="false">Q1618+P1619</f>
        <v>7</v>
      </c>
    </row>
    <row r="1620" customFormat="false" ht="15" hidden="false" customHeight="false" outlineLevel="0" collapsed="false">
      <c r="C1620" s="0" t="n">
        <f aca="false">IF(AND(Comments!B1618='Policy card'!$C$3,Comments!N1618="Open"),1,0)</f>
        <v>0</v>
      </c>
      <c r="D1620" s="0" t="str">
        <f aca="false">IF(C1620=1,E1620,IF(P1620=1,$E$2003+Q1620,""))</f>
        <v/>
      </c>
      <c r="E1620" s="0" t="n">
        <f aca="false">E1619+C1620</f>
        <v>0</v>
      </c>
      <c r="P1620" s="0" t="n">
        <f aca="false">IF(AND(Comments!B1618='Policy card'!$C$3,Comments!N1618="Closed"),1,0)</f>
        <v>0</v>
      </c>
      <c r="Q1620" s="0" t="n">
        <f aca="false">Q1619+P1620</f>
        <v>7</v>
      </c>
    </row>
    <row r="1621" customFormat="false" ht="15" hidden="false" customHeight="false" outlineLevel="0" collapsed="false">
      <c r="C1621" s="0" t="n">
        <f aca="false">IF(AND(Comments!B1619='Policy card'!$C$3,Comments!N1619="Open"),1,0)</f>
        <v>0</v>
      </c>
      <c r="D1621" s="0" t="str">
        <f aca="false">IF(C1621=1,E1621,IF(P1621=1,$E$2003+Q1621,""))</f>
        <v/>
      </c>
      <c r="E1621" s="0" t="n">
        <f aca="false">E1620+C1621</f>
        <v>0</v>
      </c>
      <c r="P1621" s="0" t="n">
        <f aca="false">IF(AND(Comments!B1619='Policy card'!$C$3,Comments!N1619="Closed"),1,0)</f>
        <v>0</v>
      </c>
      <c r="Q1621" s="0" t="n">
        <f aca="false">Q1620+P1621</f>
        <v>7</v>
      </c>
    </row>
    <row r="1622" customFormat="false" ht="15" hidden="false" customHeight="false" outlineLevel="0" collapsed="false">
      <c r="C1622" s="0" t="n">
        <f aca="false">IF(AND(Comments!B1620='Policy card'!$C$3,Comments!N1620="Open"),1,0)</f>
        <v>0</v>
      </c>
      <c r="D1622" s="0" t="str">
        <f aca="false">IF(C1622=1,E1622,IF(P1622=1,$E$2003+Q1622,""))</f>
        <v/>
      </c>
      <c r="E1622" s="0" t="n">
        <f aca="false">E1621+C1622</f>
        <v>0</v>
      </c>
      <c r="P1622" s="0" t="n">
        <f aca="false">IF(AND(Comments!B1620='Policy card'!$C$3,Comments!N1620="Closed"),1,0)</f>
        <v>0</v>
      </c>
      <c r="Q1622" s="0" t="n">
        <f aca="false">Q1621+P1622</f>
        <v>7</v>
      </c>
    </row>
    <row r="1623" customFormat="false" ht="15" hidden="false" customHeight="false" outlineLevel="0" collapsed="false">
      <c r="C1623" s="0" t="n">
        <f aca="false">IF(AND(Comments!B1621='Policy card'!$C$3,Comments!N1621="Open"),1,0)</f>
        <v>0</v>
      </c>
      <c r="D1623" s="0" t="str">
        <f aca="false">IF(C1623=1,E1623,IF(P1623=1,$E$2003+Q1623,""))</f>
        <v/>
      </c>
      <c r="E1623" s="0" t="n">
        <f aca="false">E1622+C1623</f>
        <v>0</v>
      </c>
      <c r="P1623" s="0" t="n">
        <f aca="false">IF(AND(Comments!B1621='Policy card'!$C$3,Comments!N1621="Closed"),1,0)</f>
        <v>0</v>
      </c>
      <c r="Q1623" s="0" t="n">
        <f aca="false">Q1622+P1623</f>
        <v>7</v>
      </c>
    </row>
    <row r="1624" customFormat="false" ht="15" hidden="false" customHeight="false" outlineLevel="0" collapsed="false">
      <c r="C1624" s="0" t="n">
        <f aca="false">IF(AND(Comments!B1622='Policy card'!$C$3,Comments!N1622="Open"),1,0)</f>
        <v>0</v>
      </c>
      <c r="D1624" s="0" t="str">
        <f aca="false">IF(C1624=1,E1624,IF(P1624=1,$E$2003+Q1624,""))</f>
        <v/>
      </c>
      <c r="E1624" s="0" t="n">
        <f aca="false">E1623+C1624</f>
        <v>0</v>
      </c>
      <c r="P1624" s="0" t="n">
        <f aca="false">IF(AND(Comments!B1622='Policy card'!$C$3,Comments!N1622="Closed"),1,0)</f>
        <v>0</v>
      </c>
      <c r="Q1624" s="0" t="n">
        <f aca="false">Q1623+P1624</f>
        <v>7</v>
      </c>
    </row>
    <row r="1625" customFormat="false" ht="15" hidden="false" customHeight="false" outlineLevel="0" collapsed="false">
      <c r="C1625" s="0" t="n">
        <f aca="false">IF(AND(Comments!B1623='Policy card'!$C$3,Comments!N1623="Open"),1,0)</f>
        <v>0</v>
      </c>
      <c r="D1625" s="0" t="str">
        <f aca="false">IF(C1625=1,E1625,IF(P1625=1,$E$2003+Q1625,""))</f>
        <v/>
      </c>
      <c r="E1625" s="0" t="n">
        <f aca="false">E1624+C1625</f>
        <v>0</v>
      </c>
      <c r="P1625" s="0" t="n">
        <f aca="false">IF(AND(Comments!B1623='Policy card'!$C$3,Comments!N1623="Closed"),1,0)</f>
        <v>0</v>
      </c>
      <c r="Q1625" s="0" t="n">
        <f aca="false">Q1624+P1625</f>
        <v>7</v>
      </c>
    </row>
    <row r="1626" customFormat="false" ht="15" hidden="false" customHeight="false" outlineLevel="0" collapsed="false">
      <c r="C1626" s="0" t="n">
        <f aca="false">IF(AND(Comments!B1624='Policy card'!$C$3,Comments!N1624="Open"),1,0)</f>
        <v>0</v>
      </c>
      <c r="D1626" s="0" t="str">
        <f aca="false">IF(C1626=1,E1626,IF(P1626=1,$E$2003+Q1626,""))</f>
        <v/>
      </c>
      <c r="E1626" s="0" t="n">
        <f aca="false">E1625+C1626</f>
        <v>0</v>
      </c>
      <c r="P1626" s="0" t="n">
        <f aca="false">IF(AND(Comments!B1624='Policy card'!$C$3,Comments!N1624="Closed"),1,0)</f>
        <v>0</v>
      </c>
      <c r="Q1626" s="0" t="n">
        <f aca="false">Q1625+P1626</f>
        <v>7</v>
      </c>
    </row>
    <row r="1627" customFormat="false" ht="15" hidden="false" customHeight="false" outlineLevel="0" collapsed="false">
      <c r="C1627" s="0" t="n">
        <f aca="false">IF(AND(Comments!B1625='Policy card'!$C$3,Comments!N1625="Open"),1,0)</f>
        <v>0</v>
      </c>
      <c r="D1627" s="0" t="str">
        <f aca="false">IF(C1627=1,E1627,IF(P1627=1,$E$2003+Q1627,""))</f>
        <v/>
      </c>
      <c r="E1627" s="0" t="n">
        <f aca="false">E1626+C1627</f>
        <v>0</v>
      </c>
      <c r="P1627" s="0" t="n">
        <f aca="false">IF(AND(Comments!B1625='Policy card'!$C$3,Comments!N1625="Closed"),1,0)</f>
        <v>0</v>
      </c>
      <c r="Q1627" s="0" t="n">
        <f aca="false">Q1626+P1627</f>
        <v>7</v>
      </c>
    </row>
    <row r="1628" customFormat="false" ht="15" hidden="false" customHeight="false" outlineLevel="0" collapsed="false">
      <c r="C1628" s="0" t="n">
        <f aca="false">IF(AND(Comments!B1626='Policy card'!$C$3,Comments!N1626="Open"),1,0)</f>
        <v>0</v>
      </c>
      <c r="D1628" s="0" t="str">
        <f aca="false">IF(C1628=1,E1628,IF(P1628=1,$E$2003+Q1628,""))</f>
        <v/>
      </c>
      <c r="E1628" s="0" t="n">
        <f aca="false">E1627+C1628</f>
        <v>0</v>
      </c>
      <c r="P1628" s="0" t="n">
        <f aca="false">IF(AND(Comments!B1626='Policy card'!$C$3,Comments!N1626="Closed"),1,0)</f>
        <v>0</v>
      </c>
      <c r="Q1628" s="0" t="n">
        <f aca="false">Q1627+P1628</f>
        <v>7</v>
      </c>
    </row>
    <row r="1629" customFormat="false" ht="15" hidden="false" customHeight="false" outlineLevel="0" collapsed="false">
      <c r="C1629" s="0" t="n">
        <f aca="false">IF(AND(Comments!B1627='Policy card'!$C$3,Comments!N1627="Open"),1,0)</f>
        <v>0</v>
      </c>
      <c r="D1629" s="0" t="str">
        <f aca="false">IF(C1629=1,E1629,IF(P1629=1,$E$2003+Q1629,""))</f>
        <v/>
      </c>
      <c r="E1629" s="0" t="n">
        <f aca="false">E1628+C1629</f>
        <v>0</v>
      </c>
      <c r="P1629" s="0" t="n">
        <f aca="false">IF(AND(Comments!B1627='Policy card'!$C$3,Comments!N1627="Closed"),1,0)</f>
        <v>0</v>
      </c>
      <c r="Q1629" s="0" t="n">
        <f aca="false">Q1628+P1629</f>
        <v>7</v>
      </c>
    </row>
    <row r="1630" customFormat="false" ht="15" hidden="false" customHeight="false" outlineLevel="0" collapsed="false">
      <c r="C1630" s="0" t="n">
        <f aca="false">IF(AND(Comments!B1628='Policy card'!$C$3,Comments!N1628="Open"),1,0)</f>
        <v>0</v>
      </c>
      <c r="D1630" s="0" t="str">
        <f aca="false">IF(C1630=1,E1630,IF(P1630=1,$E$2003+Q1630,""))</f>
        <v/>
      </c>
      <c r="E1630" s="0" t="n">
        <f aca="false">E1629+C1630</f>
        <v>0</v>
      </c>
      <c r="P1630" s="0" t="n">
        <f aca="false">IF(AND(Comments!B1628='Policy card'!$C$3,Comments!N1628="Closed"),1,0)</f>
        <v>0</v>
      </c>
      <c r="Q1630" s="0" t="n">
        <f aca="false">Q1629+P1630</f>
        <v>7</v>
      </c>
    </row>
    <row r="1631" customFormat="false" ht="15" hidden="false" customHeight="false" outlineLevel="0" collapsed="false">
      <c r="C1631" s="0" t="n">
        <f aca="false">IF(AND(Comments!B1629='Policy card'!$C$3,Comments!N1629="Open"),1,0)</f>
        <v>0</v>
      </c>
      <c r="D1631" s="0" t="str">
        <f aca="false">IF(C1631=1,E1631,IF(P1631=1,$E$2003+Q1631,""))</f>
        <v/>
      </c>
      <c r="E1631" s="0" t="n">
        <f aca="false">E1630+C1631</f>
        <v>0</v>
      </c>
      <c r="P1631" s="0" t="n">
        <f aca="false">IF(AND(Comments!B1629='Policy card'!$C$3,Comments!N1629="Closed"),1,0)</f>
        <v>0</v>
      </c>
      <c r="Q1631" s="0" t="n">
        <f aca="false">Q1630+P1631</f>
        <v>7</v>
      </c>
    </row>
    <row r="1632" customFormat="false" ht="15" hidden="false" customHeight="false" outlineLevel="0" collapsed="false">
      <c r="C1632" s="0" t="n">
        <f aca="false">IF(AND(Comments!B1630='Policy card'!$C$3,Comments!N1630="Open"),1,0)</f>
        <v>0</v>
      </c>
      <c r="D1632" s="0" t="str">
        <f aca="false">IF(C1632=1,E1632,IF(P1632=1,$E$2003+Q1632,""))</f>
        <v/>
      </c>
      <c r="E1632" s="0" t="n">
        <f aca="false">E1631+C1632</f>
        <v>0</v>
      </c>
      <c r="P1632" s="0" t="n">
        <f aca="false">IF(AND(Comments!B1630='Policy card'!$C$3,Comments!N1630="Closed"),1,0)</f>
        <v>0</v>
      </c>
      <c r="Q1632" s="0" t="n">
        <f aca="false">Q1631+P1632</f>
        <v>7</v>
      </c>
    </row>
    <row r="1633" customFormat="false" ht="15" hidden="false" customHeight="false" outlineLevel="0" collapsed="false">
      <c r="C1633" s="0" t="n">
        <f aca="false">IF(AND(Comments!B1631='Policy card'!$C$3,Comments!N1631="Open"),1,0)</f>
        <v>0</v>
      </c>
      <c r="D1633" s="0" t="str">
        <f aca="false">IF(C1633=1,E1633,IF(P1633=1,$E$2003+Q1633,""))</f>
        <v/>
      </c>
      <c r="E1633" s="0" t="n">
        <f aca="false">E1632+C1633</f>
        <v>0</v>
      </c>
      <c r="P1633" s="0" t="n">
        <f aca="false">IF(AND(Comments!B1631='Policy card'!$C$3,Comments!N1631="Closed"),1,0)</f>
        <v>0</v>
      </c>
      <c r="Q1633" s="0" t="n">
        <f aca="false">Q1632+P1633</f>
        <v>7</v>
      </c>
    </row>
    <row r="1634" customFormat="false" ht="15" hidden="false" customHeight="false" outlineLevel="0" collapsed="false">
      <c r="C1634" s="0" t="n">
        <f aca="false">IF(AND(Comments!B1632='Policy card'!$C$3,Comments!N1632="Open"),1,0)</f>
        <v>0</v>
      </c>
      <c r="D1634" s="0" t="str">
        <f aca="false">IF(C1634=1,E1634,IF(P1634=1,$E$2003+Q1634,""))</f>
        <v/>
      </c>
      <c r="E1634" s="0" t="n">
        <f aca="false">E1633+C1634</f>
        <v>0</v>
      </c>
      <c r="P1634" s="0" t="n">
        <f aca="false">IF(AND(Comments!B1632='Policy card'!$C$3,Comments!N1632="Closed"),1,0)</f>
        <v>0</v>
      </c>
      <c r="Q1634" s="0" t="n">
        <f aca="false">Q1633+P1634</f>
        <v>7</v>
      </c>
    </row>
    <row r="1635" customFormat="false" ht="15" hidden="false" customHeight="false" outlineLevel="0" collapsed="false">
      <c r="C1635" s="0" t="n">
        <f aca="false">IF(AND(Comments!B1633='Policy card'!$C$3,Comments!N1633="Open"),1,0)</f>
        <v>0</v>
      </c>
      <c r="D1635" s="0" t="str">
        <f aca="false">IF(C1635=1,E1635,IF(P1635=1,$E$2003+Q1635,""))</f>
        <v/>
      </c>
      <c r="E1635" s="0" t="n">
        <f aca="false">E1634+C1635</f>
        <v>0</v>
      </c>
      <c r="P1635" s="0" t="n">
        <f aca="false">IF(AND(Comments!B1633='Policy card'!$C$3,Comments!N1633="Closed"),1,0)</f>
        <v>0</v>
      </c>
      <c r="Q1635" s="0" t="n">
        <f aca="false">Q1634+P1635</f>
        <v>7</v>
      </c>
    </row>
    <row r="1636" customFormat="false" ht="15" hidden="false" customHeight="false" outlineLevel="0" collapsed="false">
      <c r="C1636" s="0" t="n">
        <f aca="false">IF(AND(Comments!B1634='Policy card'!$C$3,Comments!N1634="Open"),1,0)</f>
        <v>0</v>
      </c>
      <c r="D1636" s="0" t="str">
        <f aca="false">IF(C1636=1,E1636,IF(P1636=1,$E$2003+Q1636,""))</f>
        <v/>
      </c>
      <c r="E1636" s="0" t="n">
        <f aca="false">E1635+C1636</f>
        <v>0</v>
      </c>
      <c r="P1636" s="0" t="n">
        <f aca="false">IF(AND(Comments!B1634='Policy card'!$C$3,Comments!N1634="Closed"),1,0)</f>
        <v>0</v>
      </c>
      <c r="Q1636" s="0" t="n">
        <f aca="false">Q1635+P1636</f>
        <v>7</v>
      </c>
    </row>
    <row r="1637" customFormat="false" ht="15" hidden="false" customHeight="false" outlineLevel="0" collapsed="false">
      <c r="C1637" s="0" t="n">
        <f aca="false">IF(AND(Comments!B1635='Policy card'!$C$3,Comments!N1635="Open"),1,0)</f>
        <v>0</v>
      </c>
      <c r="D1637" s="0" t="str">
        <f aca="false">IF(C1637=1,E1637,IF(P1637=1,$E$2003+Q1637,""))</f>
        <v/>
      </c>
      <c r="E1637" s="0" t="n">
        <f aca="false">E1636+C1637</f>
        <v>0</v>
      </c>
      <c r="P1637" s="0" t="n">
        <f aca="false">IF(AND(Comments!B1635='Policy card'!$C$3,Comments!N1635="Closed"),1,0)</f>
        <v>0</v>
      </c>
      <c r="Q1637" s="0" t="n">
        <f aca="false">Q1636+P1637</f>
        <v>7</v>
      </c>
    </row>
    <row r="1638" customFormat="false" ht="15" hidden="false" customHeight="false" outlineLevel="0" collapsed="false">
      <c r="C1638" s="0" t="n">
        <f aca="false">IF(AND(Comments!B1636='Policy card'!$C$3,Comments!N1636="Open"),1,0)</f>
        <v>0</v>
      </c>
      <c r="D1638" s="0" t="str">
        <f aca="false">IF(C1638=1,E1638,IF(P1638=1,$E$2003+Q1638,""))</f>
        <v/>
      </c>
      <c r="E1638" s="0" t="n">
        <f aca="false">E1637+C1638</f>
        <v>0</v>
      </c>
      <c r="P1638" s="0" t="n">
        <f aca="false">IF(AND(Comments!B1636='Policy card'!$C$3,Comments!N1636="Closed"),1,0)</f>
        <v>0</v>
      </c>
      <c r="Q1638" s="0" t="n">
        <f aca="false">Q1637+P1638</f>
        <v>7</v>
      </c>
    </row>
    <row r="1639" customFormat="false" ht="15" hidden="false" customHeight="false" outlineLevel="0" collapsed="false">
      <c r="C1639" s="0" t="n">
        <f aca="false">IF(AND(Comments!B1637='Policy card'!$C$3,Comments!N1637="Open"),1,0)</f>
        <v>0</v>
      </c>
      <c r="D1639" s="0" t="str">
        <f aca="false">IF(C1639=1,E1639,IF(P1639=1,$E$2003+Q1639,""))</f>
        <v/>
      </c>
      <c r="E1639" s="0" t="n">
        <f aca="false">E1638+C1639</f>
        <v>0</v>
      </c>
      <c r="P1639" s="0" t="n">
        <f aca="false">IF(AND(Comments!B1637='Policy card'!$C$3,Comments!N1637="Closed"),1,0)</f>
        <v>0</v>
      </c>
      <c r="Q1639" s="0" t="n">
        <f aca="false">Q1638+P1639</f>
        <v>7</v>
      </c>
    </row>
    <row r="1640" customFormat="false" ht="15" hidden="false" customHeight="false" outlineLevel="0" collapsed="false">
      <c r="C1640" s="0" t="n">
        <f aca="false">IF(AND(Comments!B1638='Policy card'!$C$3,Comments!N1638="Open"),1,0)</f>
        <v>0</v>
      </c>
      <c r="D1640" s="0" t="str">
        <f aca="false">IF(C1640=1,E1640,IF(P1640=1,$E$2003+Q1640,""))</f>
        <v/>
      </c>
      <c r="E1640" s="0" t="n">
        <f aca="false">E1639+C1640</f>
        <v>0</v>
      </c>
      <c r="P1640" s="0" t="n">
        <f aca="false">IF(AND(Comments!B1638='Policy card'!$C$3,Comments!N1638="Closed"),1,0)</f>
        <v>0</v>
      </c>
      <c r="Q1640" s="0" t="n">
        <f aca="false">Q1639+P1640</f>
        <v>7</v>
      </c>
    </row>
    <row r="1641" customFormat="false" ht="15" hidden="false" customHeight="false" outlineLevel="0" collapsed="false">
      <c r="C1641" s="0" t="n">
        <f aca="false">IF(AND(Comments!B1639='Policy card'!$C$3,Comments!N1639="Open"),1,0)</f>
        <v>0</v>
      </c>
      <c r="D1641" s="0" t="str">
        <f aca="false">IF(C1641=1,E1641,IF(P1641=1,$E$2003+Q1641,""))</f>
        <v/>
      </c>
      <c r="E1641" s="0" t="n">
        <f aca="false">E1640+C1641</f>
        <v>0</v>
      </c>
      <c r="P1641" s="0" t="n">
        <f aca="false">IF(AND(Comments!B1639='Policy card'!$C$3,Comments!N1639="Closed"),1,0)</f>
        <v>0</v>
      </c>
      <c r="Q1641" s="0" t="n">
        <f aca="false">Q1640+P1641</f>
        <v>7</v>
      </c>
    </row>
    <row r="1642" customFormat="false" ht="15" hidden="false" customHeight="false" outlineLevel="0" collapsed="false">
      <c r="C1642" s="0" t="n">
        <f aca="false">IF(AND(Comments!B1640='Policy card'!$C$3,Comments!N1640="Open"),1,0)</f>
        <v>0</v>
      </c>
      <c r="D1642" s="0" t="str">
        <f aca="false">IF(C1642=1,E1642,IF(P1642=1,$E$2003+Q1642,""))</f>
        <v/>
      </c>
      <c r="E1642" s="0" t="n">
        <f aca="false">E1641+C1642</f>
        <v>0</v>
      </c>
      <c r="P1642" s="0" t="n">
        <f aca="false">IF(AND(Comments!B1640='Policy card'!$C$3,Comments!N1640="Closed"),1,0)</f>
        <v>0</v>
      </c>
      <c r="Q1642" s="0" t="n">
        <f aca="false">Q1641+P1642</f>
        <v>7</v>
      </c>
    </row>
    <row r="1643" customFormat="false" ht="15" hidden="false" customHeight="false" outlineLevel="0" collapsed="false">
      <c r="C1643" s="0" t="n">
        <f aca="false">IF(AND(Comments!B1641='Policy card'!$C$3,Comments!N1641="Open"),1,0)</f>
        <v>0</v>
      </c>
      <c r="D1643" s="0" t="str">
        <f aca="false">IF(C1643=1,E1643,IF(P1643=1,$E$2003+Q1643,""))</f>
        <v/>
      </c>
      <c r="E1643" s="0" t="n">
        <f aca="false">E1642+C1643</f>
        <v>0</v>
      </c>
      <c r="P1643" s="0" t="n">
        <f aca="false">IF(AND(Comments!B1641='Policy card'!$C$3,Comments!N1641="Closed"),1,0)</f>
        <v>0</v>
      </c>
      <c r="Q1643" s="0" t="n">
        <f aca="false">Q1642+P1643</f>
        <v>7</v>
      </c>
    </row>
    <row r="1644" customFormat="false" ht="15" hidden="false" customHeight="false" outlineLevel="0" collapsed="false">
      <c r="C1644" s="0" t="n">
        <f aca="false">IF(AND(Comments!B1642='Policy card'!$C$3,Comments!N1642="Open"),1,0)</f>
        <v>0</v>
      </c>
      <c r="D1644" s="0" t="str">
        <f aca="false">IF(C1644=1,E1644,IF(P1644=1,$E$2003+Q1644,""))</f>
        <v/>
      </c>
      <c r="E1644" s="0" t="n">
        <f aca="false">E1643+C1644</f>
        <v>0</v>
      </c>
      <c r="P1644" s="0" t="n">
        <f aca="false">IF(AND(Comments!B1642='Policy card'!$C$3,Comments!N1642="Closed"),1,0)</f>
        <v>0</v>
      </c>
      <c r="Q1644" s="0" t="n">
        <f aca="false">Q1643+P1644</f>
        <v>7</v>
      </c>
    </row>
    <row r="1645" customFormat="false" ht="15" hidden="false" customHeight="false" outlineLevel="0" collapsed="false">
      <c r="C1645" s="0" t="n">
        <f aca="false">IF(AND(Comments!B1643='Policy card'!$C$3,Comments!N1643="Open"),1,0)</f>
        <v>0</v>
      </c>
      <c r="D1645" s="0" t="str">
        <f aca="false">IF(C1645=1,E1645,IF(P1645=1,$E$2003+Q1645,""))</f>
        <v/>
      </c>
      <c r="E1645" s="0" t="n">
        <f aca="false">E1644+C1645</f>
        <v>0</v>
      </c>
      <c r="P1645" s="0" t="n">
        <f aca="false">IF(AND(Comments!B1643='Policy card'!$C$3,Comments!N1643="Closed"),1,0)</f>
        <v>0</v>
      </c>
      <c r="Q1645" s="0" t="n">
        <f aca="false">Q1644+P1645</f>
        <v>7</v>
      </c>
    </row>
    <row r="1646" customFormat="false" ht="15" hidden="false" customHeight="false" outlineLevel="0" collapsed="false">
      <c r="C1646" s="0" t="n">
        <f aca="false">IF(AND(Comments!B1644='Policy card'!$C$3,Comments!N1644="Open"),1,0)</f>
        <v>0</v>
      </c>
      <c r="D1646" s="0" t="str">
        <f aca="false">IF(C1646=1,E1646,IF(P1646=1,$E$2003+Q1646,""))</f>
        <v/>
      </c>
      <c r="E1646" s="0" t="n">
        <f aca="false">E1645+C1646</f>
        <v>0</v>
      </c>
      <c r="P1646" s="0" t="n">
        <f aca="false">IF(AND(Comments!B1644='Policy card'!$C$3,Comments!N1644="Closed"),1,0)</f>
        <v>0</v>
      </c>
      <c r="Q1646" s="0" t="n">
        <f aca="false">Q1645+P1646</f>
        <v>7</v>
      </c>
    </row>
    <row r="1647" customFormat="false" ht="15" hidden="false" customHeight="false" outlineLevel="0" collapsed="false">
      <c r="C1647" s="0" t="n">
        <f aca="false">IF(AND(Comments!B1645='Policy card'!$C$3,Comments!N1645="Open"),1,0)</f>
        <v>0</v>
      </c>
      <c r="D1647" s="0" t="str">
        <f aca="false">IF(C1647=1,E1647,IF(P1647=1,$E$2003+Q1647,""))</f>
        <v/>
      </c>
      <c r="E1647" s="0" t="n">
        <f aca="false">E1646+C1647</f>
        <v>0</v>
      </c>
      <c r="P1647" s="0" t="n">
        <f aca="false">IF(AND(Comments!B1645='Policy card'!$C$3,Comments!N1645="Closed"),1,0)</f>
        <v>0</v>
      </c>
      <c r="Q1647" s="0" t="n">
        <f aca="false">Q1646+P1647</f>
        <v>7</v>
      </c>
    </row>
    <row r="1648" customFormat="false" ht="15" hidden="false" customHeight="false" outlineLevel="0" collapsed="false">
      <c r="C1648" s="0" t="n">
        <f aca="false">IF(AND(Comments!B1646='Policy card'!$C$3,Comments!N1646="Open"),1,0)</f>
        <v>0</v>
      </c>
      <c r="D1648" s="0" t="str">
        <f aca="false">IF(C1648=1,E1648,IF(P1648=1,$E$2003+Q1648,""))</f>
        <v/>
      </c>
      <c r="E1648" s="0" t="n">
        <f aca="false">E1647+C1648</f>
        <v>0</v>
      </c>
      <c r="P1648" s="0" t="n">
        <f aca="false">IF(AND(Comments!B1646='Policy card'!$C$3,Comments!N1646="Closed"),1,0)</f>
        <v>0</v>
      </c>
      <c r="Q1648" s="0" t="n">
        <f aca="false">Q1647+P1648</f>
        <v>7</v>
      </c>
    </row>
    <row r="1649" customFormat="false" ht="15" hidden="false" customHeight="false" outlineLevel="0" collapsed="false">
      <c r="C1649" s="0" t="n">
        <f aca="false">IF(AND(Comments!B1647='Policy card'!$C$3,Comments!N1647="Open"),1,0)</f>
        <v>0</v>
      </c>
      <c r="D1649" s="0" t="str">
        <f aca="false">IF(C1649=1,E1649,IF(P1649=1,$E$2003+Q1649,""))</f>
        <v/>
      </c>
      <c r="E1649" s="0" t="n">
        <f aca="false">E1648+C1649</f>
        <v>0</v>
      </c>
      <c r="P1649" s="0" t="n">
        <f aca="false">IF(AND(Comments!B1647='Policy card'!$C$3,Comments!N1647="Closed"),1,0)</f>
        <v>0</v>
      </c>
      <c r="Q1649" s="0" t="n">
        <f aca="false">Q1648+P1649</f>
        <v>7</v>
      </c>
    </row>
    <row r="1650" customFormat="false" ht="15" hidden="false" customHeight="false" outlineLevel="0" collapsed="false">
      <c r="C1650" s="0" t="n">
        <f aca="false">IF(AND(Comments!B1648='Policy card'!$C$3,Comments!N1648="Open"),1,0)</f>
        <v>0</v>
      </c>
      <c r="D1650" s="0" t="str">
        <f aca="false">IF(C1650=1,E1650,IF(P1650=1,$E$2003+Q1650,""))</f>
        <v/>
      </c>
      <c r="E1650" s="0" t="n">
        <f aca="false">E1649+C1650</f>
        <v>0</v>
      </c>
      <c r="P1650" s="0" t="n">
        <f aca="false">IF(AND(Comments!B1648='Policy card'!$C$3,Comments!N1648="Closed"),1,0)</f>
        <v>0</v>
      </c>
      <c r="Q1650" s="0" t="n">
        <f aca="false">Q1649+P1650</f>
        <v>7</v>
      </c>
    </row>
    <row r="1651" customFormat="false" ht="15" hidden="false" customHeight="false" outlineLevel="0" collapsed="false">
      <c r="C1651" s="0" t="n">
        <f aca="false">IF(AND(Comments!B1649='Policy card'!$C$3,Comments!N1649="Open"),1,0)</f>
        <v>0</v>
      </c>
      <c r="D1651" s="0" t="str">
        <f aca="false">IF(C1651=1,E1651,IF(P1651=1,$E$2003+Q1651,""))</f>
        <v/>
      </c>
      <c r="E1651" s="0" t="n">
        <f aca="false">E1650+C1651</f>
        <v>0</v>
      </c>
      <c r="P1651" s="0" t="n">
        <f aca="false">IF(AND(Comments!B1649='Policy card'!$C$3,Comments!N1649="Closed"),1,0)</f>
        <v>0</v>
      </c>
      <c r="Q1651" s="0" t="n">
        <f aca="false">Q1650+P1651</f>
        <v>7</v>
      </c>
    </row>
    <row r="1652" customFormat="false" ht="15" hidden="false" customHeight="false" outlineLevel="0" collapsed="false">
      <c r="C1652" s="0" t="n">
        <f aca="false">IF(AND(Comments!B1650='Policy card'!$C$3,Comments!N1650="Open"),1,0)</f>
        <v>0</v>
      </c>
      <c r="D1652" s="0" t="str">
        <f aca="false">IF(C1652=1,E1652,IF(P1652=1,$E$2003+Q1652,""))</f>
        <v/>
      </c>
      <c r="E1652" s="0" t="n">
        <f aca="false">E1651+C1652</f>
        <v>0</v>
      </c>
      <c r="P1652" s="0" t="n">
        <f aca="false">IF(AND(Comments!B1650='Policy card'!$C$3,Comments!N1650="Closed"),1,0)</f>
        <v>0</v>
      </c>
      <c r="Q1652" s="0" t="n">
        <f aca="false">Q1651+P1652</f>
        <v>7</v>
      </c>
    </row>
    <row r="1653" customFormat="false" ht="15" hidden="false" customHeight="false" outlineLevel="0" collapsed="false">
      <c r="C1653" s="0" t="n">
        <f aca="false">IF(AND(Comments!B1651='Policy card'!$C$3,Comments!N1651="Open"),1,0)</f>
        <v>0</v>
      </c>
      <c r="D1653" s="0" t="str">
        <f aca="false">IF(C1653=1,E1653,IF(P1653=1,$E$2003+Q1653,""))</f>
        <v/>
      </c>
      <c r="E1653" s="0" t="n">
        <f aca="false">E1652+C1653</f>
        <v>0</v>
      </c>
      <c r="P1653" s="0" t="n">
        <f aca="false">IF(AND(Comments!B1651='Policy card'!$C$3,Comments!N1651="Closed"),1,0)</f>
        <v>0</v>
      </c>
      <c r="Q1653" s="0" t="n">
        <f aca="false">Q1652+P1653</f>
        <v>7</v>
      </c>
    </row>
    <row r="1654" customFormat="false" ht="15" hidden="false" customHeight="false" outlineLevel="0" collapsed="false">
      <c r="C1654" s="0" t="n">
        <f aca="false">IF(AND(Comments!B1652='Policy card'!$C$3,Comments!N1652="Open"),1,0)</f>
        <v>0</v>
      </c>
      <c r="D1654" s="0" t="str">
        <f aca="false">IF(C1654=1,E1654,IF(P1654=1,$E$2003+Q1654,""))</f>
        <v/>
      </c>
      <c r="E1654" s="0" t="n">
        <f aca="false">E1653+C1654</f>
        <v>0</v>
      </c>
      <c r="P1654" s="0" t="n">
        <f aca="false">IF(AND(Comments!B1652='Policy card'!$C$3,Comments!N1652="Closed"),1,0)</f>
        <v>0</v>
      </c>
      <c r="Q1654" s="0" t="n">
        <f aca="false">Q1653+P1654</f>
        <v>7</v>
      </c>
    </row>
    <row r="1655" customFormat="false" ht="15" hidden="false" customHeight="false" outlineLevel="0" collapsed="false">
      <c r="C1655" s="0" t="n">
        <f aca="false">IF(AND(Comments!B1653='Policy card'!$C$3,Comments!N1653="Open"),1,0)</f>
        <v>0</v>
      </c>
      <c r="D1655" s="0" t="str">
        <f aca="false">IF(C1655=1,E1655,IF(P1655=1,$E$2003+Q1655,""))</f>
        <v/>
      </c>
      <c r="E1655" s="0" t="n">
        <f aca="false">E1654+C1655</f>
        <v>0</v>
      </c>
      <c r="P1655" s="0" t="n">
        <f aca="false">IF(AND(Comments!B1653='Policy card'!$C$3,Comments!N1653="Closed"),1,0)</f>
        <v>0</v>
      </c>
      <c r="Q1655" s="0" t="n">
        <f aca="false">Q1654+P1655</f>
        <v>7</v>
      </c>
    </row>
    <row r="1656" customFormat="false" ht="15" hidden="false" customHeight="false" outlineLevel="0" collapsed="false">
      <c r="C1656" s="0" t="n">
        <f aca="false">IF(AND(Comments!B1654='Policy card'!$C$3,Comments!N1654="Open"),1,0)</f>
        <v>0</v>
      </c>
      <c r="D1656" s="0" t="str">
        <f aca="false">IF(C1656=1,E1656,IF(P1656=1,$E$2003+Q1656,""))</f>
        <v/>
      </c>
      <c r="E1656" s="0" t="n">
        <f aca="false">E1655+C1656</f>
        <v>0</v>
      </c>
      <c r="P1656" s="0" t="n">
        <f aca="false">IF(AND(Comments!B1654='Policy card'!$C$3,Comments!N1654="Closed"),1,0)</f>
        <v>0</v>
      </c>
      <c r="Q1656" s="0" t="n">
        <f aca="false">Q1655+P1656</f>
        <v>7</v>
      </c>
    </row>
    <row r="1657" customFormat="false" ht="15" hidden="false" customHeight="false" outlineLevel="0" collapsed="false">
      <c r="C1657" s="0" t="n">
        <f aca="false">IF(AND(Comments!B1655='Policy card'!$C$3,Comments!N1655="Open"),1,0)</f>
        <v>0</v>
      </c>
      <c r="D1657" s="0" t="str">
        <f aca="false">IF(C1657=1,E1657,IF(P1657=1,$E$2003+Q1657,""))</f>
        <v/>
      </c>
      <c r="E1657" s="0" t="n">
        <f aca="false">E1656+C1657</f>
        <v>0</v>
      </c>
      <c r="P1657" s="0" t="n">
        <f aca="false">IF(AND(Comments!B1655='Policy card'!$C$3,Comments!N1655="Closed"),1,0)</f>
        <v>0</v>
      </c>
      <c r="Q1657" s="0" t="n">
        <f aca="false">Q1656+P1657</f>
        <v>7</v>
      </c>
    </row>
    <row r="1658" customFormat="false" ht="15" hidden="false" customHeight="false" outlineLevel="0" collapsed="false">
      <c r="C1658" s="0" t="n">
        <f aca="false">IF(AND(Comments!B1656='Policy card'!$C$3,Comments!N1656="Open"),1,0)</f>
        <v>0</v>
      </c>
      <c r="D1658" s="0" t="str">
        <f aca="false">IF(C1658=1,E1658,IF(P1658=1,$E$2003+Q1658,""))</f>
        <v/>
      </c>
      <c r="E1658" s="0" t="n">
        <f aca="false">E1657+C1658</f>
        <v>0</v>
      </c>
      <c r="P1658" s="0" t="n">
        <f aca="false">IF(AND(Comments!B1656='Policy card'!$C$3,Comments!N1656="Closed"),1,0)</f>
        <v>0</v>
      </c>
      <c r="Q1658" s="0" t="n">
        <f aca="false">Q1657+P1658</f>
        <v>7</v>
      </c>
    </row>
    <row r="1659" customFormat="false" ht="15" hidden="false" customHeight="false" outlineLevel="0" collapsed="false">
      <c r="C1659" s="0" t="n">
        <f aca="false">IF(AND(Comments!B1657='Policy card'!$C$3,Comments!N1657="Open"),1,0)</f>
        <v>0</v>
      </c>
      <c r="D1659" s="0" t="str">
        <f aca="false">IF(C1659=1,E1659,IF(P1659=1,$E$2003+Q1659,""))</f>
        <v/>
      </c>
      <c r="E1659" s="0" t="n">
        <f aca="false">E1658+C1659</f>
        <v>0</v>
      </c>
      <c r="P1659" s="0" t="n">
        <f aca="false">IF(AND(Comments!B1657='Policy card'!$C$3,Comments!N1657="Closed"),1,0)</f>
        <v>0</v>
      </c>
      <c r="Q1659" s="0" t="n">
        <f aca="false">Q1658+P1659</f>
        <v>7</v>
      </c>
    </row>
    <row r="1660" customFormat="false" ht="15" hidden="false" customHeight="false" outlineLevel="0" collapsed="false">
      <c r="C1660" s="0" t="n">
        <f aca="false">IF(AND(Comments!B1658='Policy card'!$C$3,Comments!N1658="Open"),1,0)</f>
        <v>0</v>
      </c>
      <c r="D1660" s="0" t="str">
        <f aca="false">IF(C1660=1,E1660,IF(P1660=1,$E$2003+Q1660,""))</f>
        <v/>
      </c>
      <c r="E1660" s="0" t="n">
        <f aca="false">E1659+C1660</f>
        <v>0</v>
      </c>
      <c r="P1660" s="0" t="n">
        <f aca="false">IF(AND(Comments!B1658='Policy card'!$C$3,Comments!N1658="Closed"),1,0)</f>
        <v>0</v>
      </c>
      <c r="Q1660" s="0" t="n">
        <f aca="false">Q1659+P1660</f>
        <v>7</v>
      </c>
    </row>
    <row r="1661" customFormat="false" ht="15" hidden="false" customHeight="false" outlineLevel="0" collapsed="false">
      <c r="C1661" s="0" t="n">
        <f aca="false">IF(AND(Comments!B1659='Policy card'!$C$3,Comments!N1659="Open"),1,0)</f>
        <v>0</v>
      </c>
      <c r="D1661" s="0" t="str">
        <f aca="false">IF(C1661=1,E1661,IF(P1661=1,$E$2003+Q1661,""))</f>
        <v/>
      </c>
      <c r="E1661" s="0" t="n">
        <f aca="false">E1660+C1661</f>
        <v>0</v>
      </c>
      <c r="P1661" s="0" t="n">
        <f aca="false">IF(AND(Comments!B1659='Policy card'!$C$3,Comments!N1659="Closed"),1,0)</f>
        <v>0</v>
      </c>
      <c r="Q1661" s="0" t="n">
        <f aca="false">Q1660+P1661</f>
        <v>7</v>
      </c>
    </row>
    <row r="1662" customFormat="false" ht="15" hidden="false" customHeight="false" outlineLevel="0" collapsed="false">
      <c r="C1662" s="0" t="n">
        <f aca="false">IF(AND(Comments!B1660='Policy card'!$C$3,Comments!N1660="Open"),1,0)</f>
        <v>0</v>
      </c>
      <c r="D1662" s="0" t="str">
        <f aca="false">IF(C1662=1,E1662,IF(P1662=1,$E$2003+Q1662,""))</f>
        <v/>
      </c>
      <c r="E1662" s="0" t="n">
        <f aca="false">E1661+C1662</f>
        <v>0</v>
      </c>
      <c r="P1662" s="0" t="n">
        <f aca="false">IF(AND(Comments!B1660='Policy card'!$C$3,Comments!N1660="Closed"),1,0)</f>
        <v>0</v>
      </c>
      <c r="Q1662" s="0" t="n">
        <f aca="false">Q1661+P1662</f>
        <v>7</v>
      </c>
    </row>
    <row r="1663" customFormat="false" ht="15" hidden="false" customHeight="false" outlineLevel="0" collapsed="false">
      <c r="C1663" s="0" t="n">
        <f aca="false">IF(AND(Comments!B1661='Policy card'!$C$3,Comments!N1661="Open"),1,0)</f>
        <v>0</v>
      </c>
      <c r="D1663" s="0" t="str">
        <f aca="false">IF(C1663=1,E1663,IF(P1663=1,$E$2003+Q1663,""))</f>
        <v/>
      </c>
      <c r="E1663" s="0" t="n">
        <f aca="false">E1662+C1663</f>
        <v>0</v>
      </c>
      <c r="P1663" s="0" t="n">
        <f aca="false">IF(AND(Comments!B1661='Policy card'!$C$3,Comments!N1661="Closed"),1,0)</f>
        <v>0</v>
      </c>
      <c r="Q1663" s="0" t="n">
        <f aca="false">Q1662+P1663</f>
        <v>7</v>
      </c>
    </row>
    <row r="1664" customFormat="false" ht="15" hidden="false" customHeight="false" outlineLevel="0" collapsed="false">
      <c r="C1664" s="0" t="n">
        <f aca="false">IF(AND(Comments!B1662='Policy card'!$C$3,Comments!N1662="Open"),1,0)</f>
        <v>0</v>
      </c>
      <c r="D1664" s="0" t="str">
        <f aca="false">IF(C1664=1,E1664,IF(P1664=1,$E$2003+Q1664,""))</f>
        <v/>
      </c>
      <c r="E1664" s="0" t="n">
        <f aca="false">E1663+C1664</f>
        <v>0</v>
      </c>
      <c r="P1664" s="0" t="n">
        <f aca="false">IF(AND(Comments!B1662='Policy card'!$C$3,Comments!N1662="Closed"),1,0)</f>
        <v>0</v>
      </c>
      <c r="Q1664" s="0" t="n">
        <f aca="false">Q1663+P1664</f>
        <v>7</v>
      </c>
    </row>
    <row r="1665" customFormat="false" ht="15" hidden="false" customHeight="false" outlineLevel="0" collapsed="false">
      <c r="C1665" s="0" t="n">
        <f aca="false">IF(AND(Comments!B1663='Policy card'!$C$3,Comments!N1663="Open"),1,0)</f>
        <v>0</v>
      </c>
      <c r="D1665" s="0" t="str">
        <f aca="false">IF(C1665=1,E1665,IF(P1665=1,$E$2003+Q1665,""))</f>
        <v/>
      </c>
      <c r="E1665" s="0" t="n">
        <f aca="false">E1664+C1665</f>
        <v>0</v>
      </c>
      <c r="P1665" s="0" t="n">
        <f aca="false">IF(AND(Comments!B1663='Policy card'!$C$3,Comments!N1663="Closed"),1,0)</f>
        <v>0</v>
      </c>
      <c r="Q1665" s="0" t="n">
        <f aca="false">Q1664+P1665</f>
        <v>7</v>
      </c>
    </row>
    <row r="1666" customFormat="false" ht="15" hidden="false" customHeight="false" outlineLevel="0" collapsed="false">
      <c r="C1666" s="0" t="n">
        <f aca="false">IF(AND(Comments!B1664='Policy card'!$C$3,Comments!N1664="Open"),1,0)</f>
        <v>0</v>
      </c>
      <c r="D1666" s="0" t="str">
        <f aca="false">IF(C1666=1,E1666,IF(P1666=1,$E$2003+Q1666,""))</f>
        <v/>
      </c>
      <c r="E1666" s="0" t="n">
        <f aca="false">E1665+C1666</f>
        <v>0</v>
      </c>
      <c r="P1666" s="0" t="n">
        <f aca="false">IF(AND(Comments!B1664='Policy card'!$C$3,Comments!N1664="Closed"),1,0)</f>
        <v>0</v>
      </c>
      <c r="Q1666" s="0" t="n">
        <f aca="false">Q1665+P1666</f>
        <v>7</v>
      </c>
    </row>
    <row r="1667" customFormat="false" ht="15" hidden="false" customHeight="false" outlineLevel="0" collapsed="false">
      <c r="C1667" s="0" t="n">
        <f aca="false">IF(AND(Comments!B1665='Policy card'!$C$3,Comments!N1665="Open"),1,0)</f>
        <v>0</v>
      </c>
      <c r="D1667" s="0" t="str">
        <f aca="false">IF(C1667=1,E1667,IF(P1667=1,$E$2003+Q1667,""))</f>
        <v/>
      </c>
      <c r="E1667" s="0" t="n">
        <f aca="false">E1666+C1667</f>
        <v>0</v>
      </c>
      <c r="P1667" s="0" t="n">
        <f aca="false">IF(AND(Comments!B1665='Policy card'!$C$3,Comments!N1665="Closed"),1,0)</f>
        <v>0</v>
      </c>
      <c r="Q1667" s="0" t="n">
        <f aca="false">Q1666+P1667</f>
        <v>7</v>
      </c>
    </row>
    <row r="1668" customFormat="false" ht="15" hidden="false" customHeight="false" outlineLevel="0" collapsed="false">
      <c r="C1668" s="0" t="n">
        <f aca="false">IF(AND(Comments!B1666='Policy card'!$C$3,Comments!N1666="Open"),1,0)</f>
        <v>0</v>
      </c>
      <c r="D1668" s="0" t="str">
        <f aca="false">IF(C1668=1,E1668,IF(P1668=1,$E$2003+Q1668,""))</f>
        <v/>
      </c>
      <c r="E1668" s="0" t="n">
        <f aca="false">E1667+C1668</f>
        <v>0</v>
      </c>
      <c r="P1668" s="0" t="n">
        <f aca="false">IF(AND(Comments!B1666='Policy card'!$C$3,Comments!N1666="Closed"),1,0)</f>
        <v>0</v>
      </c>
      <c r="Q1668" s="0" t="n">
        <f aca="false">Q1667+P1668</f>
        <v>7</v>
      </c>
    </row>
    <row r="1669" customFormat="false" ht="15" hidden="false" customHeight="false" outlineLevel="0" collapsed="false">
      <c r="C1669" s="0" t="n">
        <f aca="false">IF(AND(Comments!B1667='Policy card'!$C$3,Comments!N1667="Open"),1,0)</f>
        <v>0</v>
      </c>
      <c r="D1669" s="0" t="str">
        <f aca="false">IF(C1669=1,E1669,IF(P1669=1,$E$2003+Q1669,""))</f>
        <v/>
      </c>
      <c r="E1669" s="0" t="n">
        <f aca="false">E1668+C1669</f>
        <v>0</v>
      </c>
      <c r="P1669" s="0" t="n">
        <f aca="false">IF(AND(Comments!B1667='Policy card'!$C$3,Comments!N1667="Closed"),1,0)</f>
        <v>0</v>
      </c>
      <c r="Q1669" s="0" t="n">
        <f aca="false">Q1668+P1669</f>
        <v>7</v>
      </c>
    </row>
    <row r="1670" customFormat="false" ht="15" hidden="false" customHeight="false" outlineLevel="0" collapsed="false">
      <c r="C1670" s="0" t="n">
        <f aca="false">IF(AND(Comments!B1668='Policy card'!$C$3,Comments!N1668="Open"),1,0)</f>
        <v>0</v>
      </c>
      <c r="D1670" s="0" t="str">
        <f aca="false">IF(C1670=1,E1670,IF(P1670=1,$E$2003+Q1670,""))</f>
        <v/>
      </c>
      <c r="E1670" s="0" t="n">
        <f aca="false">E1669+C1670</f>
        <v>0</v>
      </c>
      <c r="P1670" s="0" t="n">
        <f aca="false">IF(AND(Comments!B1668='Policy card'!$C$3,Comments!N1668="Closed"),1,0)</f>
        <v>0</v>
      </c>
      <c r="Q1670" s="0" t="n">
        <f aca="false">Q1669+P1670</f>
        <v>7</v>
      </c>
    </row>
    <row r="1671" customFormat="false" ht="15" hidden="false" customHeight="false" outlineLevel="0" collapsed="false">
      <c r="C1671" s="0" t="n">
        <f aca="false">IF(AND(Comments!B1669='Policy card'!$C$3,Comments!N1669="Open"),1,0)</f>
        <v>0</v>
      </c>
      <c r="D1671" s="0" t="str">
        <f aca="false">IF(C1671=1,E1671,IF(P1671=1,$E$2003+Q1671,""))</f>
        <v/>
      </c>
      <c r="E1671" s="0" t="n">
        <f aca="false">E1670+C1671</f>
        <v>0</v>
      </c>
      <c r="P1671" s="0" t="n">
        <f aca="false">IF(AND(Comments!B1669='Policy card'!$C$3,Comments!N1669="Closed"),1,0)</f>
        <v>0</v>
      </c>
      <c r="Q1671" s="0" t="n">
        <f aca="false">Q1670+P1671</f>
        <v>7</v>
      </c>
    </row>
    <row r="1672" customFormat="false" ht="15" hidden="false" customHeight="false" outlineLevel="0" collapsed="false">
      <c r="C1672" s="0" t="n">
        <f aca="false">IF(AND(Comments!B1670='Policy card'!$C$3,Comments!N1670="Open"),1,0)</f>
        <v>0</v>
      </c>
      <c r="D1672" s="0" t="str">
        <f aca="false">IF(C1672=1,E1672,IF(P1672=1,$E$2003+Q1672,""))</f>
        <v/>
      </c>
      <c r="E1672" s="0" t="n">
        <f aca="false">E1671+C1672</f>
        <v>0</v>
      </c>
      <c r="P1672" s="0" t="n">
        <f aca="false">IF(AND(Comments!B1670='Policy card'!$C$3,Comments!N1670="Closed"),1,0)</f>
        <v>0</v>
      </c>
      <c r="Q1672" s="0" t="n">
        <f aca="false">Q1671+P1672</f>
        <v>7</v>
      </c>
    </row>
    <row r="1673" customFormat="false" ht="15" hidden="false" customHeight="false" outlineLevel="0" collapsed="false">
      <c r="C1673" s="0" t="n">
        <f aca="false">IF(AND(Comments!B1671='Policy card'!$C$3,Comments!N1671="Open"),1,0)</f>
        <v>0</v>
      </c>
      <c r="D1673" s="0" t="str">
        <f aca="false">IF(C1673=1,E1673,IF(P1673=1,$E$2003+Q1673,""))</f>
        <v/>
      </c>
      <c r="E1673" s="0" t="n">
        <f aca="false">E1672+C1673</f>
        <v>0</v>
      </c>
      <c r="P1673" s="0" t="n">
        <f aca="false">IF(AND(Comments!B1671='Policy card'!$C$3,Comments!N1671="Closed"),1,0)</f>
        <v>0</v>
      </c>
      <c r="Q1673" s="0" t="n">
        <f aca="false">Q1672+P1673</f>
        <v>7</v>
      </c>
    </row>
    <row r="1674" customFormat="false" ht="15" hidden="false" customHeight="false" outlineLevel="0" collapsed="false">
      <c r="C1674" s="0" t="n">
        <f aca="false">IF(AND(Comments!B1672='Policy card'!$C$3,Comments!N1672="Open"),1,0)</f>
        <v>0</v>
      </c>
      <c r="D1674" s="0" t="str">
        <f aca="false">IF(C1674=1,E1674,IF(P1674=1,$E$2003+Q1674,""))</f>
        <v/>
      </c>
      <c r="E1674" s="0" t="n">
        <f aca="false">E1673+C1674</f>
        <v>0</v>
      </c>
      <c r="P1674" s="0" t="n">
        <f aca="false">IF(AND(Comments!B1672='Policy card'!$C$3,Comments!N1672="Closed"),1,0)</f>
        <v>0</v>
      </c>
      <c r="Q1674" s="0" t="n">
        <f aca="false">Q1673+P1674</f>
        <v>7</v>
      </c>
    </row>
    <row r="1675" customFormat="false" ht="15" hidden="false" customHeight="false" outlineLevel="0" collapsed="false">
      <c r="C1675" s="0" t="n">
        <f aca="false">IF(AND(Comments!B1673='Policy card'!$C$3,Comments!N1673="Open"),1,0)</f>
        <v>0</v>
      </c>
      <c r="D1675" s="0" t="str">
        <f aca="false">IF(C1675=1,E1675,IF(P1675=1,$E$2003+Q1675,""))</f>
        <v/>
      </c>
      <c r="E1675" s="0" t="n">
        <f aca="false">E1674+C1675</f>
        <v>0</v>
      </c>
      <c r="P1675" s="0" t="n">
        <f aca="false">IF(AND(Comments!B1673='Policy card'!$C$3,Comments!N1673="Closed"),1,0)</f>
        <v>0</v>
      </c>
      <c r="Q1675" s="0" t="n">
        <f aca="false">Q1674+P1675</f>
        <v>7</v>
      </c>
    </row>
    <row r="1676" customFormat="false" ht="15" hidden="false" customHeight="false" outlineLevel="0" collapsed="false">
      <c r="C1676" s="0" t="n">
        <f aca="false">IF(AND(Comments!B1674='Policy card'!$C$3,Comments!N1674="Open"),1,0)</f>
        <v>0</v>
      </c>
      <c r="D1676" s="0" t="str">
        <f aca="false">IF(C1676=1,E1676,IF(P1676=1,$E$2003+Q1676,""))</f>
        <v/>
      </c>
      <c r="E1676" s="0" t="n">
        <f aca="false">E1675+C1676</f>
        <v>0</v>
      </c>
      <c r="P1676" s="0" t="n">
        <f aca="false">IF(AND(Comments!B1674='Policy card'!$C$3,Comments!N1674="Closed"),1,0)</f>
        <v>0</v>
      </c>
      <c r="Q1676" s="0" t="n">
        <f aca="false">Q1675+P1676</f>
        <v>7</v>
      </c>
    </row>
    <row r="1677" customFormat="false" ht="15" hidden="false" customHeight="false" outlineLevel="0" collapsed="false">
      <c r="C1677" s="0" t="n">
        <f aca="false">IF(AND(Comments!B1675='Policy card'!$C$3,Comments!N1675="Open"),1,0)</f>
        <v>0</v>
      </c>
      <c r="D1677" s="0" t="str">
        <f aca="false">IF(C1677=1,E1677,IF(P1677=1,$E$2003+Q1677,""))</f>
        <v/>
      </c>
      <c r="E1677" s="0" t="n">
        <f aca="false">E1676+C1677</f>
        <v>0</v>
      </c>
      <c r="P1677" s="0" t="n">
        <f aca="false">IF(AND(Comments!B1675='Policy card'!$C$3,Comments!N1675="Closed"),1,0)</f>
        <v>0</v>
      </c>
      <c r="Q1677" s="0" t="n">
        <f aca="false">Q1676+P1677</f>
        <v>7</v>
      </c>
    </row>
    <row r="1678" customFormat="false" ht="15" hidden="false" customHeight="false" outlineLevel="0" collapsed="false">
      <c r="C1678" s="0" t="n">
        <f aca="false">IF(AND(Comments!B1676='Policy card'!$C$3,Comments!N1676="Open"),1,0)</f>
        <v>0</v>
      </c>
      <c r="D1678" s="0" t="str">
        <f aca="false">IF(C1678=1,E1678,IF(P1678=1,$E$2003+Q1678,""))</f>
        <v/>
      </c>
      <c r="E1678" s="0" t="n">
        <f aca="false">E1677+C1678</f>
        <v>0</v>
      </c>
      <c r="P1678" s="0" t="n">
        <f aca="false">IF(AND(Comments!B1676='Policy card'!$C$3,Comments!N1676="Closed"),1,0)</f>
        <v>0</v>
      </c>
      <c r="Q1678" s="0" t="n">
        <f aca="false">Q1677+P1678</f>
        <v>7</v>
      </c>
    </row>
    <row r="1679" customFormat="false" ht="15" hidden="false" customHeight="false" outlineLevel="0" collapsed="false">
      <c r="C1679" s="0" t="n">
        <f aca="false">IF(AND(Comments!B1677='Policy card'!$C$3,Comments!N1677="Open"),1,0)</f>
        <v>0</v>
      </c>
      <c r="D1679" s="0" t="str">
        <f aca="false">IF(C1679=1,E1679,IF(P1679=1,$E$2003+Q1679,""))</f>
        <v/>
      </c>
      <c r="E1679" s="0" t="n">
        <f aca="false">E1678+C1679</f>
        <v>0</v>
      </c>
      <c r="P1679" s="0" t="n">
        <f aca="false">IF(AND(Comments!B1677='Policy card'!$C$3,Comments!N1677="Closed"),1,0)</f>
        <v>0</v>
      </c>
      <c r="Q1679" s="0" t="n">
        <f aca="false">Q1678+P1679</f>
        <v>7</v>
      </c>
    </row>
    <row r="1680" customFormat="false" ht="15" hidden="false" customHeight="false" outlineLevel="0" collapsed="false">
      <c r="C1680" s="0" t="n">
        <f aca="false">IF(AND(Comments!B1678='Policy card'!$C$3,Comments!N1678="Open"),1,0)</f>
        <v>0</v>
      </c>
      <c r="D1680" s="0" t="str">
        <f aca="false">IF(C1680=1,E1680,IF(P1680=1,$E$2003+Q1680,""))</f>
        <v/>
      </c>
      <c r="E1680" s="0" t="n">
        <f aca="false">E1679+C1680</f>
        <v>0</v>
      </c>
      <c r="P1680" s="0" t="n">
        <f aca="false">IF(AND(Comments!B1678='Policy card'!$C$3,Comments!N1678="Closed"),1,0)</f>
        <v>0</v>
      </c>
      <c r="Q1680" s="0" t="n">
        <f aca="false">Q1679+P1680</f>
        <v>7</v>
      </c>
    </row>
    <row r="1681" customFormat="false" ht="15" hidden="false" customHeight="false" outlineLevel="0" collapsed="false">
      <c r="C1681" s="0" t="n">
        <f aca="false">IF(AND(Comments!B1679='Policy card'!$C$3,Comments!N1679="Open"),1,0)</f>
        <v>0</v>
      </c>
      <c r="D1681" s="0" t="str">
        <f aca="false">IF(C1681=1,E1681,IF(P1681=1,$E$2003+Q1681,""))</f>
        <v/>
      </c>
      <c r="E1681" s="0" t="n">
        <f aca="false">E1680+C1681</f>
        <v>0</v>
      </c>
      <c r="P1681" s="0" t="n">
        <f aca="false">IF(AND(Comments!B1679='Policy card'!$C$3,Comments!N1679="Closed"),1,0)</f>
        <v>0</v>
      </c>
      <c r="Q1681" s="0" t="n">
        <f aca="false">Q1680+P1681</f>
        <v>7</v>
      </c>
    </row>
    <row r="1682" customFormat="false" ht="15" hidden="false" customHeight="false" outlineLevel="0" collapsed="false">
      <c r="C1682" s="0" t="n">
        <f aca="false">IF(AND(Comments!B1680='Policy card'!$C$3,Comments!N1680="Open"),1,0)</f>
        <v>0</v>
      </c>
      <c r="D1682" s="0" t="str">
        <f aca="false">IF(C1682=1,E1682,IF(P1682=1,$E$2003+Q1682,""))</f>
        <v/>
      </c>
      <c r="E1682" s="0" t="n">
        <f aca="false">E1681+C1682</f>
        <v>0</v>
      </c>
      <c r="P1682" s="0" t="n">
        <f aca="false">IF(AND(Comments!B1680='Policy card'!$C$3,Comments!N1680="Closed"),1,0)</f>
        <v>0</v>
      </c>
      <c r="Q1682" s="0" t="n">
        <f aca="false">Q1681+P1682</f>
        <v>7</v>
      </c>
    </row>
    <row r="1683" customFormat="false" ht="15" hidden="false" customHeight="false" outlineLevel="0" collapsed="false">
      <c r="C1683" s="0" t="n">
        <f aca="false">IF(AND(Comments!B1681='Policy card'!$C$3,Comments!N1681="Open"),1,0)</f>
        <v>0</v>
      </c>
      <c r="D1683" s="0" t="str">
        <f aca="false">IF(C1683=1,E1683,IF(P1683=1,$E$2003+Q1683,""))</f>
        <v/>
      </c>
      <c r="E1683" s="0" t="n">
        <f aca="false">E1682+C1683</f>
        <v>0</v>
      </c>
      <c r="P1683" s="0" t="n">
        <f aca="false">IF(AND(Comments!B1681='Policy card'!$C$3,Comments!N1681="Closed"),1,0)</f>
        <v>0</v>
      </c>
      <c r="Q1683" s="0" t="n">
        <f aca="false">Q1682+P1683</f>
        <v>7</v>
      </c>
    </row>
    <row r="1684" customFormat="false" ht="15" hidden="false" customHeight="false" outlineLevel="0" collapsed="false">
      <c r="C1684" s="0" t="n">
        <f aca="false">IF(AND(Comments!B1682='Policy card'!$C$3,Comments!N1682="Open"),1,0)</f>
        <v>0</v>
      </c>
      <c r="D1684" s="0" t="str">
        <f aca="false">IF(C1684=1,E1684,IF(P1684=1,$E$2003+Q1684,""))</f>
        <v/>
      </c>
      <c r="E1684" s="0" t="n">
        <f aca="false">E1683+C1684</f>
        <v>0</v>
      </c>
      <c r="P1684" s="0" t="n">
        <f aca="false">IF(AND(Comments!B1682='Policy card'!$C$3,Comments!N1682="Closed"),1,0)</f>
        <v>0</v>
      </c>
      <c r="Q1684" s="0" t="n">
        <f aca="false">Q1683+P1684</f>
        <v>7</v>
      </c>
    </row>
    <row r="1685" customFormat="false" ht="15" hidden="false" customHeight="false" outlineLevel="0" collapsed="false">
      <c r="C1685" s="0" t="n">
        <f aca="false">IF(AND(Comments!B1683='Policy card'!$C$3,Comments!N1683="Open"),1,0)</f>
        <v>0</v>
      </c>
      <c r="D1685" s="0" t="str">
        <f aca="false">IF(C1685=1,E1685,IF(P1685=1,$E$2003+Q1685,""))</f>
        <v/>
      </c>
      <c r="E1685" s="0" t="n">
        <f aca="false">E1684+C1685</f>
        <v>0</v>
      </c>
      <c r="P1685" s="0" t="n">
        <f aca="false">IF(AND(Comments!B1683='Policy card'!$C$3,Comments!N1683="Closed"),1,0)</f>
        <v>0</v>
      </c>
      <c r="Q1685" s="0" t="n">
        <f aca="false">Q1684+P1685</f>
        <v>7</v>
      </c>
    </row>
    <row r="1686" customFormat="false" ht="15" hidden="false" customHeight="false" outlineLevel="0" collapsed="false">
      <c r="C1686" s="0" t="n">
        <f aca="false">IF(AND(Comments!B1684='Policy card'!$C$3,Comments!N1684="Open"),1,0)</f>
        <v>0</v>
      </c>
      <c r="D1686" s="0" t="str">
        <f aca="false">IF(C1686=1,E1686,IF(P1686=1,$E$2003+Q1686,""))</f>
        <v/>
      </c>
      <c r="E1686" s="0" t="n">
        <f aca="false">E1685+C1686</f>
        <v>0</v>
      </c>
      <c r="P1686" s="0" t="n">
        <f aca="false">IF(AND(Comments!B1684='Policy card'!$C$3,Comments!N1684="Closed"),1,0)</f>
        <v>0</v>
      </c>
      <c r="Q1686" s="0" t="n">
        <f aca="false">Q1685+P1686</f>
        <v>7</v>
      </c>
    </row>
    <row r="1687" customFormat="false" ht="15" hidden="false" customHeight="false" outlineLevel="0" collapsed="false">
      <c r="C1687" s="0" t="n">
        <f aca="false">IF(AND(Comments!B1685='Policy card'!$C$3,Comments!N1685="Open"),1,0)</f>
        <v>0</v>
      </c>
      <c r="D1687" s="0" t="str">
        <f aca="false">IF(C1687=1,E1687,IF(P1687=1,$E$2003+Q1687,""))</f>
        <v/>
      </c>
      <c r="E1687" s="0" t="n">
        <f aca="false">E1686+C1687</f>
        <v>0</v>
      </c>
      <c r="P1687" s="0" t="n">
        <f aca="false">IF(AND(Comments!B1685='Policy card'!$C$3,Comments!N1685="Closed"),1,0)</f>
        <v>0</v>
      </c>
      <c r="Q1687" s="0" t="n">
        <f aca="false">Q1686+P1687</f>
        <v>7</v>
      </c>
    </row>
    <row r="1688" customFormat="false" ht="15" hidden="false" customHeight="false" outlineLevel="0" collapsed="false">
      <c r="C1688" s="0" t="n">
        <f aca="false">IF(AND(Comments!B1686='Policy card'!$C$3,Comments!N1686="Open"),1,0)</f>
        <v>0</v>
      </c>
      <c r="D1688" s="0" t="str">
        <f aca="false">IF(C1688=1,E1688,IF(P1688=1,$E$2003+Q1688,""))</f>
        <v/>
      </c>
      <c r="E1688" s="0" t="n">
        <f aca="false">E1687+C1688</f>
        <v>0</v>
      </c>
      <c r="P1688" s="0" t="n">
        <f aca="false">IF(AND(Comments!B1686='Policy card'!$C$3,Comments!N1686="Closed"),1,0)</f>
        <v>0</v>
      </c>
      <c r="Q1688" s="0" t="n">
        <f aca="false">Q1687+P1688</f>
        <v>7</v>
      </c>
    </row>
    <row r="1689" customFormat="false" ht="15" hidden="false" customHeight="false" outlineLevel="0" collapsed="false">
      <c r="C1689" s="0" t="n">
        <f aca="false">IF(AND(Comments!B1687='Policy card'!$C$3,Comments!N1687="Open"),1,0)</f>
        <v>0</v>
      </c>
      <c r="D1689" s="0" t="str">
        <f aca="false">IF(C1689=1,E1689,IF(P1689=1,$E$2003+Q1689,""))</f>
        <v/>
      </c>
      <c r="E1689" s="0" t="n">
        <f aca="false">E1688+C1689</f>
        <v>0</v>
      </c>
      <c r="P1689" s="0" t="n">
        <f aca="false">IF(AND(Comments!B1687='Policy card'!$C$3,Comments!N1687="Closed"),1,0)</f>
        <v>0</v>
      </c>
      <c r="Q1689" s="0" t="n">
        <f aca="false">Q1688+P1689</f>
        <v>7</v>
      </c>
    </row>
    <row r="1690" customFormat="false" ht="15" hidden="false" customHeight="false" outlineLevel="0" collapsed="false">
      <c r="C1690" s="0" t="n">
        <f aca="false">IF(AND(Comments!B1688='Policy card'!$C$3,Comments!N1688="Open"),1,0)</f>
        <v>0</v>
      </c>
      <c r="D1690" s="0" t="str">
        <f aca="false">IF(C1690=1,E1690,IF(P1690=1,$E$2003+Q1690,""))</f>
        <v/>
      </c>
      <c r="E1690" s="0" t="n">
        <f aca="false">E1689+C1690</f>
        <v>0</v>
      </c>
      <c r="P1690" s="0" t="n">
        <f aca="false">IF(AND(Comments!B1688='Policy card'!$C$3,Comments!N1688="Closed"),1,0)</f>
        <v>0</v>
      </c>
      <c r="Q1690" s="0" t="n">
        <f aca="false">Q1689+P1690</f>
        <v>7</v>
      </c>
    </row>
    <row r="1691" customFormat="false" ht="15" hidden="false" customHeight="false" outlineLevel="0" collapsed="false">
      <c r="C1691" s="0" t="n">
        <f aca="false">IF(AND(Comments!B1689='Policy card'!$C$3,Comments!N1689="Open"),1,0)</f>
        <v>0</v>
      </c>
      <c r="D1691" s="0" t="str">
        <f aca="false">IF(C1691=1,E1691,IF(P1691=1,$E$2003+Q1691,""))</f>
        <v/>
      </c>
      <c r="E1691" s="0" t="n">
        <f aca="false">E1690+C1691</f>
        <v>0</v>
      </c>
      <c r="P1691" s="0" t="n">
        <f aca="false">IF(AND(Comments!B1689='Policy card'!$C$3,Comments!N1689="Closed"),1,0)</f>
        <v>0</v>
      </c>
      <c r="Q1691" s="0" t="n">
        <f aca="false">Q1690+P1691</f>
        <v>7</v>
      </c>
    </row>
    <row r="1692" customFormat="false" ht="15" hidden="false" customHeight="false" outlineLevel="0" collapsed="false">
      <c r="C1692" s="0" t="n">
        <f aca="false">IF(AND(Comments!B1690='Policy card'!$C$3,Comments!N1690="Open"),1,0)</f>
        <v>0</v>
      </c>
      <c r="D1692" s="0" t="str">
        <f aca="false">IF(C1692=1,E1692,IF(P1692=1,$E$2003+Q1692,""))</f>
        <v/>
      </c>
      <c r="E1692" s="0" t="n">
        <f aca="false">E1691+C1692</f>
        <v>0</v>
      </c>
      <c r="P1692" s="0" t="n">
        <f aca="false">IF(AND(Comments!B1690='Policy card'!$C$3,Comments!N1690="Closed"),1,0)</f>
        <v>0</v>
      </c>
      <c r="Q1692" s="0" t="n">
        <f aca="false">Q1691+P1692</f>
        <v>7</v>
      </c>
    </row>
    <row r="1693" customFormat="false" ht="15" hidden="false" customHeight="false" outlineLevel="0" collapsed="false">
      <c r="C1693" s="0" t="n">
        <f aca="false">IF(AND(Comments!B1691='Policy card'!$C$3,Comments!N1691="Open"),1,0)</f>
        <v>0</v>
      </c>
      <c r="D1693" s="0" t="str">
        <f aca="false">IF(C1693=1,E1693,IF(P1693=1,$E$2003+Q1693,""))</f>
        <v/>
      </c>
      <c r="E1693" s="0" t="n">
        <f aca="false">E1692+C1693</f>
        <v>0</v>
      </c>
      <c r="P1693" s="0" t="n">
        <f aca="false">IF(AND(Comments!B1691='Policy card'!$C$3,Comments!N1691="Closed"),1,0)</f>
        <v>0</v>
      </c>
      <c r="Q1693" s="0" t="n">
        <f aca="false">Q1692+P1693</f>
        <v>7</v>
      </c>
    </row>
    <row r="1694" customFormat="false" ht="15" hidden="false" customHeight="false" outlineLevel="0" collapsed="false">
      <c r="C1694" s="0" t="n">
        <f aca="false">IF(AND(Comments!B1692='Policy card'!$C$3,Comments!N1692="Open"),1,0)</f>
        <v>0</v>
      </c>
      <c r="D1694" s="0" t="str">
        <f aca="false">IF(C1694=1,E1694,IF(P1694=1,$E$2003+Q1694,""))</f>
        <v/>
      </c>
      <c r="E1694" s="0" t="n">
        <f aca="false">E1693+C1694</f>
        <v>0</v>
      </c>
      <c r="P1694" s="0" t="n">
        <f aca="false">IF(AND(Comments!B1692='Policy card'!$C$3,Comments!N1692="Closed"),1,0)</f>
        <v>0</v>
      </c>
      <c r="Q1694" s="0" t="n">
        <f aca="false">Q1693+P1694</f>
        <v>7</v>
      </c>
    </row>
    <row r="1695" customFormat="false" ht="15" hidden="false" customHeight="false" outlineLevel="0" collapsed="false">
      <c r="C1695" s="0" t="n">
        <f aca="false">IF(AND(Comments!B1693='Policy card'!$C$3,Comments!N1693="Open"),1,0)</f>
        <v>0</v>
      </c>
      <c r="D1695" s="0" t="str">
        <f aca="false">IF(C1695=1,E1695,IF(P1695=1,$E$2003+Q1695,""))</f>
        <v/>
      </c>
      <c r="E1695" s="0" t="n">
        <f aca="false">E1694+C1695</f>
        <v>0</v>
      </c>
      <c r="P1695" s="0" t="n">
        <f aca="false">IF(AND(Comments!B1693='Policy card'!$C$3,Comments!N1693="Closed"),1,0)</f>
        <v>0</v>
      </c>
      <c r="Q1695" s="0" t="n">
        <f aca="false">Q1694+P1695</f>
        <v>7</v>
      </c>
    </row>
    <row r="1696" customFormat="false" ht="15" hidden="false" customHeight="false" outlineLevel="0" collapsed="false">
      <c r="C1696" s="0" t="n">
        <f aca="false">IF(AND(Comments!B1694='Policy card'!$C$3,Comments!N1694="Open"),1,0)</f>
        <v>0</v>
      </c>
      <c r="D1696" s="0" t="str">
        <f aca="false">IF(C1696=1,E1696,IF(P1696=1,$E$2003+Q1696,""))</f>
        <v/>
      </c>
      <c r="E1696" s="0" t="n">
        <f aca="false">E1695+C1696</f>
        <v>0</v>
      </c>
      <c r="P1696" s="0" t="n">
        <f aca="false">IF(AND(Comments!B1694='Policy card'!$C$3,Comments!N1694="Closed"),1,0)</f>
        <v>0</v>
      </c>
      <c r="Q1696" s="0" t="n">
        <f aca="false">Q1695+P1696</f>
        <v>7</v>
      </c>
    </row>
    <row r="1697" customFormat="false" ht="15" hidden="false" customHeight="false" outlineLevel="0" collapsed="false">
      <c r="C1697" s="0" t="n">
        <f aca="false">IF(AND(Comments!B1695='Policy card'!$C$3,Comments!N1695="Open"),1,0)</f>
        <v>0</v>
      </c>
      <c r="D1697" s="0" t="str">
        <f aca="false">IF(C1697=1,E1697,IF(P1697=1,$E$2003+Q1697,""))</f>
        <v/>
      </c>
      <c r="E1697" s="0" t="n">
        <f aca="false">E1696+C1697</f>
        <v>0</v>
      </c>
      <c r="P1697" s="0" t="n">
        <f aca="false">IF(AND(Comments!B1695='Policy card'!$C$3,Comments!N1695="Closed"),1,0)</f>
        <v>0</v>
      </c>
      <c r="Q1697" s="0" t="n">
        <f aca="false">Q1696+P1697</f>
        <v>7</v>
      </c>
    </row>
    <row r="1698" customFormat="false" ht="15" hidden="false" customHeight="false" outlineLevel="0" collapsed="false">
      <c r="C1698" s="0" t="n">
        <f aca="false">IF(AND(Comments!B1696='Policy card'!$C$3,Comments!N1696="Open"),1,0)</f>
        <v>0</v>
      </c>
      <c r="D1698" s="0" t="str">
        <f aca="false">IF(C1698=1,E1698,IF(P1698=1,$E$2003+Q1698,""))</f>
        <v/>
      </c>
      <c r="E1698" s="0" t="n">
        <f aca="false">E1697+C1698</f>
        <v>0</v>
      </c>
      <c r="P1698" s="0" t="n">
        <f aca="false">IF(AND(Comments!B1696='Policy card'!$C$3,Comments!N1696="Closed"),1,0)</f>
        <v>0</v>
      </c>
      <c r="Q1698" s="0" t="n">
        <f aca="false">Q1697+P1698</f>
        <v>7</v>
      </c>
    </row>
    <row r="1699" customFormat="false" ht="15" hidden="false" customHeight="false" outlineLevel="0" collapsed="false">
      <c r="C1699" s="0" t="n">
        <f aca="false">IF(AND(Comments!B1697='Policy card'!$C$3,Comments!N1697="Open"),1,0)</f>
        <v>0</v>
      </c>
      <c r="D1699" s="0" t="str">
        <f aca="false">IF(C1699=1,E1699,IF(P1699=1,$E$2003+Q1699,""))</f>
        <v/>
      </c>
      <c r="E1699" s="0" t="n">
        <f aca="false">E1698+C1699</f>
        <v>0</v>
      </c>
      <c r="P1699" s="0" t="n">
        <f aca="false">IF(AND(Comments!B1697='Policy card'!$C$3,Comments!N1697="Closed"),1,0)</f>
        <v>0</v>
      </c>
      <c r="Q1699" s="0" t="n">
        <f aca="false">Q1698+P1699</f>
        <v>7</v>
      </c>
    </row>
    <row r="1700" customFormat="false" ht="15" hidden="false" customHeight="false" outlineLevel="0" collapsed="false">
      <c r="C1700" s="0" t="n">
        <f aca="false">IF(AND(Comments!B1698='Policy card'!$C$3,Comments!N1698="Open"),1,0)</f>
        <v>0</v>
      </c>
      <c r="D1700" s="0" t="str">
        <f aca="false">IF(C1700=1,E1700,IF(P1700=1,$E$2003+Q1700,""))</f>
        <v/>
      </c>
      <c r="E1700" s="0" t="n">
        <f aca="false">E1699+C1700</f>
        <v>0</v>
      </c>
      <c r="P1700" s="0" t="n">
        <f aca="false">IF(AND(Comments!B1698='Policy card'!$C$3,Comments!N1698="Closed"),1,0)</f>
        <v>0</v>
      </c>
      <c r="Q1700" s="0" t="n">
        <f aca="false">Q1699+P1700</f>
        <v>7</v>
      </c>
    </row>
    <row r="1701" customFormat="false" ht="15" hidden="false" customHeight="false" outlineLevel="0" collapsed="false">
      <c r="C1701" s="0" t="n">
        <f aca="false">IF(AND(Comments!B1699='Policy card'!$C$3,Comments!N1699="Open"),1,0)</f>
        <v>0</v>
      </c>
      <c r="D1701" s="0" t="str">
        <f aca="false">IF(C1701=1,E1701,IF(P1701=1,$E$2003+Q1701,""))</f>
        <v/>
      </c>
      <c r="E1701" s="0" t="n">
        <f aca="false">E1700+C1701</f>
        <v>0</v>
      </c>
      <c r="P1701" s="0" t="n">
        <f aca="false">IF(AND(Comments!B1699='Policy card'!$C$3,Comments!N1699="Closed"),1,0)</f>
        <v>0</v>
      </c>
      <c r="Q1701" s="0" t="n">
        <f aca="false">Q1700+P1701</f>
        <v>7</v>
      </c>
    </row>
    <row r="1702" customFormat="false" ht="15" hidden="false" customHeight="false" outlineLevel="0" collapsed="false">
      <c r="C1702" s="0" t="n">
        <f aca="false">IF(AND(Comments!B1700='Policy card'!$C$3,Comments!N1700="Open"),1,0)</f>
        <v>0</v>
      </c>
      <c r="D1702" s="0" t="str">
        <f aca="false">IF(C1702=1,E1702,IF(P1702=1,$E$2003+Q1702,""))</f>
        <v/>
      </c>
      <c r="E1702" s="0" t="n">
        <f aca="false">E1701+C1702</f>
        <v>0</v>
      </c>
      <c r="P1702" s="0" t="n">
        <f aca="false">IF(AND(Comments!B1700='Policy card'!$C$3,Comments!N1700="Closed"),1,0)</f>
        <v>0</v>
      </c>
      <c r="Q1702" s="0" t="n">
        <f aca="false">Q1701+P1702</f>
        <v>7</v>
      </c>
    </row>
    <row r="1703" customFormat="false" ht="15" hidden="false" customHeight="false" outlineLevel="0" collapsed="false">
      <c r="C1703" s="0" t="n">
        <f aca="false">IF(AND(Comments!B1701='Policy card'!$C$3,Comments!N1701="Open"),1,0)</f>
        <v>0</v>
      </c>
      <c r="D1703" s="0" t="str">
        <f aca="false">IF(C1703=1,E1703,IF(P1703=1,$E$2003+Q1703,""))</f>
        <v/>
      </c>
      <c r="E1703" s="0" t="n">
        <f aca="false">E1702+C1703</f>
        <v>0</v>
      </c>
      <c r="P1703" s="0" t="n">
        <f aca="false">IF(AND(Comments!B1701='Policy card'!$C$3,Comments!N1701="Closed"),1,0)</f>
        <v>0</v>
      </c>
      <c r="Q1703" s="0" t="n">
        <f aca="false">Q1702+P1703</f>
        <v>7</v>
      </c>
    </row>
    <row r="1704" customFormat="false" ht="15" hidden="false" customHeight="false" outlineLevel="0" collapsed="false">
      <c r="C1704" s="0" t="n">
        <f aca="false">IF(AND(Comments!B1702='Policy card'!$C$3,Comments!N1702="Open"),1,0)</f>
        <v>0</v>
      </c>
      <c r="D1704" s="0" t="str">
        <f aca="false">IF(C1704=1,E1704,IF(P1704=1,$E$2003+Q1704,""))</f>
        <v/>
      </c>
      <c r="E1704" s="0" t="n">
        <f aca="false">E1703+C1704</f>
        <v>0</v>
      </c>
      <c r="P1704" s="0" t="n">
        <f aca="false">IF(AND(Comments!B1702='Policy card'!$C$3,Comments!N1702="Closed"),1,0)</f>
        <v>0</v>
      </c>
      <c r="Q1704" s="0" t="n">
        <f aca="false">Q1703+P1704</f>
        <v>7</v>
      </c>
    </row>
    <row r="1705" customFormat="false" ht="15" hidden="false" customHeight="false" outlineLevel="0" collapsed="false">
      <c r="C1705" s="0" t="n">
        <f aca="false">IF(AND(Comments!B1703='Policy card'!$C$3,Comments!N1703="Open"),1,0)</f>
        <v>0</v>
      </c>
      <c r="D1705" s="0" t="str">
        <f aca="false">IF(C1705=1,E1705,IF(P1705=1,$E$2003+Q1705,""))</f>
        <v/>
      </c>
      <c r="E1705" s="0" t="n">
        <f aca="false">E1704+C1705</f>
        <v>0</v>
      </c>
      <c r="P1705" s="0" t="n">
        <f aca="false">IF(AND(Comments!B1703='Policy card'!$C$3,Comments!N1703="Closed"),1,0)</f>
        <v>0</v>
      </c>
      <c r="Q1705" s="0" t="n">
        <f aca="false">Q1704+P1705</f>
        <v>7</v>
      </c>
    </row>
    <row r="1706" customFormat="false" ht="15" hidden="false" customHeight="false" outlineLevel="0" collapsed="false">
      <c r="C1706" s="0" t="n">
        <f aca="false">IF(AND(Comments!B1704='Policy card'!$C$3,Comments!N1704="Open"),1,0)</f>
        <v>0</v>
      </c>
      <c r="D1706" s="0" t="str">
        <f aca="false">IF(C1706=1,E1706,IF(P1706=1,$E$2003+Q1706,""))</f>
        <v/>
      </c>
      <c r="E1706" s="0" t="n">
        <f aca="false">E1705+C1706</f>
        <v>0</v>
      </c>
      <c r="P1706" s="0" t="n">
        <f aca="false">IF(AND(Comments!B1704='Policy card'!$C$3,Comments!N1704="Closed"),1,0)</f>
        <v>0</v>
      </c>
      <c r="Q1706" s="0" t="n">
        <f aca="false">Q1705+P1706</f>
        <v>7</v>
      </c>
    </row>
    <row r="1707" customFormat="false" ht="15" hidden="false" customHeight="false" outlineLevel="0" collapsed="false">
      <c r="C1707" s="0" t="n">
        <f aca="false">IF(AND(Comments!B1705='Policy card'!$C$3,Comments!N1705="Open"),1,0)</f>
        <v>0</v>
      </c>
      <c r="D1707" s="0" t="str">
        <f aca="false">IF(C1707=1,E1707,IF(P1707=1,$E$2003+Q1707,""))</f>
        <v/>
      </c>
      <c r="E1707" s="0" t="n">
        <f aca="false">E1706+C1707</f>
        <v>0</v>
      </c>
      <c r="P1707" s="0" t="n">
        <f aca="false">IF(AND(Comments!B1705='Policy card'!$C$3,Comments!N1705="Closed"),1,0)</f>
        <v>0</v>
      </c>
      <c r="Q1707" s="0" t="n">
        <f aca="false">Q1706+P1707</f>
        <v>7</v>
      </c>
    </row>
    <row r="1708" customFormat="false" ht="15" hidden="false" customHeight="false" outlineLevel="0" collapsed="false">
      <c r="C1708" s="0" t="n">
        <f aca="false">IF(AND(Comments!B1706='Policy card'!$C$3,Comments!N1706="Open"),1,0)</f>
        <v>0</v>
      </c>
      <c r="D1708" s="0" t="str">
        <f aca="false">IF(C1708=1,E1708,IF(P1708=1,$E$2003+Q1708,""))</f>
        <v/>
      </c>
      <c r="E1708" s="0" t="n">
        <f aca="false">E1707+C1708</f>
        <v>0</v>
      </c>
      <c r="P1708" s="0" t="n">
        <f aca="false">IF(AND(Comments!B1706='Policy card'!$C$3,Comments!N1706="Closed"),1,0)</f>
        <v>0</v>
      </c>
      <c r="Q1708" s="0" t="n">
        <f aca="false">Q1707+P1708</f>
        <v>7</v>
      </c>
    </row>
    <row r="1709" customFormat="false" ht="15" hidden="false" customHeight="false" outlineLevel="0" collapsed="false">
      <c r="C1709" s="0" t="n">
        <f aca="false">IF(AND(Comments!B1707='Policy card'!$C$3,Comments!N1707="Open"),1,0)</f>
        <v>0</v>
      </c>
      <c r="D1709" s="0" t="str">
        <f aca="false">IF(C1709=1,E1709,IF(P1709=1,$E$2003+Q1709,""))</f>
        <v/>
      </c>
      <c r="E1709" s="0" t="n">
        <f aca="false">E1708+C1709</f>
        <v>0</v>
      </c>
      <c r="P1709" s="0" t="n">
        <f aca="false">IF(AND(Comments!B1707='Policy card'!$C$3,Comments!N1707="Closed"),1,0)</f>
        <v>0</v>
      </c>
      <c r="Q1709" s="0" t="n">
        <f aca="false">Q1708+P1709</f>
        <v>7</v>
      </c>
    </row>
    <row r="1710" customFormat="false" ht="15" hidden="false" customHeight="false" outlineLevel="0" collapsed="false">
      <c r="C1710" s="0" t="n">
        <f aca="false">IF(AND(Comments!B1708='Policy card'!$C$3,Comments!N1708="Open"),1,0)</f>
        <v>0</v>
      </c>
      <c r="D1710" s="0" t="str">
        <f aca="false">IF(C1710=1,E1710,IF(P1710=1,$E$2003+Q1710,""))</f>
        <v/>
      </c>
      <c r="E1710" s="0" t="n">
        <f aca="false">E1709+C1710</f>
        <v>0</v>
      </c>
      <c r="P1710" s="0" t="n">
        <f aca="false">IF(AND(Comments!B1708='Policy card'!$C$3,Comments!N1708="Closed"),1,0)</f>
        <v>0</v>
      </c>
      <c r="Q1710" s="0" t="n">
        <f aca="false">Q1709+P1710</f>
        <v>7</v>
      </c>
    </row>
    <row r="1711" customFormat="false" ht="15" hidden="false" customHeight="false" outlineLevel="0" collapsed="false">
      <c r="C1711" s="0" t="n">
        <f aca="false">IF(AND(Comments!B1709='Policy card'!$C$3,Comments!N1709="Open"),1,0)</f>
        <v>0</v>
      </c>
      <c r="D1711" s="0" t="str">
        <f aca="false">IF(C1711=1,E1711,IF(P1711=1,$E$2003+Q1711,""))</f>
        <v/>
      </c>
      <c r="E1711" s="0" t="n">
        <f aca="false">E1710+C1711</f>
        <v>0</v>
      </c>
      <c r="P1711" s="0" t="n">
        <f aca="false">IF(AND(Comments!B1709='Policy card'!$C$3,Comments!N1709="Closed"),1,0)</f>
        <v>0</v>
      </c>
      <c r="Q1711" s="0" t="n">
        <f aca="false">Q1710+P1711</f>
        <v>7</v>
      </c>
    </row>
    <row r="1712" customFormat="false" ht="15" hidden="false" customHeight="false" outlineLevel="0" collapsed="false">
      <c r="C1712" s="0" t="n">
        <f aca="false">IF(AND(Comments!B1710='Policy card'!$C$3,Comments!N1710="Open"),1,0)</f>
        <v>0</v>
      </c>
      <c r="D1712" s="0" t="str">
        <f aca="false">IF(C1712=1,E1712,IF(P1712=1,$E$2003+Q1712,""))</f>
        <v/>
      </c>
      <c r="E1712" s="0" t="n">
        <f aca="false">E1711+C1712</f>
        <v>0</v>
      </c>
      <c r="P1712" s="0" t="n">
        <f aca="false">IF(AND(Comments!B1710='Policy card'!$C$3,Comments!N1710="Closed"),1,0)</f>
        <v>0</v>
      </c>
      <c r="Q1712" s="0" t="n">
        <f aca="false">Q1711+P1712</f>
        <v>7</v>
      </c>
    </row>
    <row r="1713" customFormat="false" ht="15" hidden="false" customHeight="false" outlineLevel="0" collapsed="false">
      <c r="C1713" s="0" t="n">
        <f aca="false">IF(AND(Comments!B1711='Policy card'!$C$3,Comments!N1711="Open"),1,0)</f>
        <v>0</v>
      </c>
      <c r="D1713" s="0" t="str">
        <f aca="false">IF(C1713=1,E1713,IF(P1713=1,$E$2003+Q1713,""))</f>
        <v/>
      </c>
      <c r="E1713" s="0" t="n">
        <f aca="false">E1712+C1713</f>
        <v>0</v>
      </c>
      <c r="P1713" s="0" t="n">
        <f aca="false">IF(AND(Comments!B1711='Policy card'!$C$3,Comments!N1711="Closed"),1,0)</f>
        <v>0</v>
      </c>
      <c r="Q1713" s="0" t="n">
        <f aca="false">Q1712+P1713</f>
        <v>7</v>
      </c>
    </row>
    <row r="1714" customFormat="false" ht="15" hidden="false" customHeight="false" outlineLevel="0" collapsed="false">
      <c r="C1714" s="0" t="n">
        <f aca="false">IF(AND(Comments!B1712='Policy card'!$C$3,Comments!N1712="Open"),1,0)</f>
        <v>0</v>
      </c>
      <c r="D1714" s="0" t="str">
        <f aca="false">IF(C1714=1,E1714,IF(P1714=1,$E$2003+Q1714,""))</f>
        <v/>
      </c>
      <c r="E1714" s="0" t="n">
        <f aca="false">E1713+C1714</f>
        <v>0</v>
      </c>
      <c r="P1714" s="0" t="n">
        <f aca="false">IF(AND(Comments!B1712='Policy card'!$C$3,Comments!N1712="Closed"),1,0)</f>
        <v>0</v>
      </c>
      <c r="Q1714" s="0" t="n">
        <f aca="false">Q1713+P1714</f>
        <v>7</v>
      </c>
    </row>
    <row r="1715" customFormat="false" ht="15" hidden="false" customHeight="false" outlineLevel="0" collapsed="false">
      <c r="C1715" s="0" t="n">
        <f aca="false">IF(AND(Comments!B1713='Policy card'!$C$3,Comments!N1713="Open"),1,0)</f>
        <v>0</v>
      </c>
      <c r="D1715" s="0" t="str">
        <f aca="false">IF(C1715=1,E1715,IF(P1715=1,$E$2003+Q1715,""))</f>
        <v/>
      </c>
      <c r="E1715" s="0" t="n">
        <f aca="false">E1714+C1715</f>
        <v>0</v>
      </c>
      <c r="P1715" s="0" t="n">
        <f aca="false">IF(AND(Comments!B1713='Policy card'!$C$3,Comments!N1713="Closed"),1,0)</f>
        <v>0</v>
      </c>
      <c r="Q1715" s="0" t="n">
        <f aca="false">Q1714+P1715</f>
        <v>7</v>
      </c>
    </row>
    <row r="1716" customFormat="false" ht="15" hidden="false" customHeight="false" outlineLevel="0" collapsed="false">
      <c r="C1716" s="0" t="n">
        <f aca="false">IF(AND(Comments!B1714='Policy card'!$C$3,Comments!N1714="Open"),1,0)</f>
        <v>0</v>
      </c>
      <c r="D1716" s="0" t="str">
        <f aca="false">IF(C1716=1,E1716,IF(P1716=1,$E$2003+Q1716,""))</f>
        <v/>
      </c>
      <c r="E1716" s="0" t="n">
        <f aca="false">E1715+C1716</f>
        <v>0</v>
      </c>
      <c r="P1716" s="0" t="n">
        <f aca="false">IF(AND(Comments!B1714='Policy card'!$C$3,Comments!N1714="Closed"),1,0)</f>
        <v>0</v>
      </c>
      <c r="Q1716" s="0" t="n">
        <f aca="false">Q1715+P1716</f>
        <v>7</v>
      </c>
    </row>
    <row r="1717" customFormat="false" ht="15" hidden="false" customHeight="false" outlineLevel="0" collapsed="false">
      <c r="C1717" s="0" t="n">
        <f aca="false">IF(AND(Comments!B1715='Policy card'!$C$3,Comments!N1715="Open"),1,0)</f>
        <v>0</v>
      </c>
      <c r="D1717" s="0" t="str">
        <f aca="false">IF(C1717=1,E1717,IF(P1717=1,$E$2003+Q1717,""))</f>
        <v/>
      </c>
      <c r="E1717" s="0" t="n">
        <f aca="false">E1716+C1717</f>
        <v>0</v>
      </c>
      <c r="P1717" s="0" t="n">
        <f aca="false">IF(AND(Comments!B1715='Policy card'!$C$3,Comments!N1715="Closed"),1,0)</f>
        <v>0</v>
      </c>
      <c r="Q1717" s="0" t="n">
        <f aca="false">Q1716+P1717</f>
        <v>7</v>
      </c>
    </row>
    <row r="1718" customFormat="false" ht="15" hidden="false" customHeight="false" outlineLevel="0" collapsed="false">
      <c r="C1718" s="0" t="n">
        <f aca="false">IF(AND(Comments!B1716='Policy card'!$C$3,Comments!N1716="Open"),1,0)</f>
        <v>0</v>
      </c>
      <c r="D1718" s="0" t="str">
        <f aca="false">IF(C1718=1,E1718,IF(P1718=1,$E$2003+Q1718,""))</f>
        <v/>
      </c>
      <c r="E1718" s="0" t="n">
        <f aca="false">E1717+C1718</f>
        <v>0</v>
      </c>
      <c r="P1718" s="0" t="n">
        <f aca="false">IF(AND(Comments!B1716='Policy card'!$C$3,Comments!N1716="Closed"),1,0)</f>
        <v>0</v>
      </c>
      <c r="Q1718" s="0" t="n">
        <f aca="false">Q1717+P1718</f>
        <v>7</v>
      </c>
    </row>
    <row r="1719" customFormat="false" ht="15" hidden="false" customHeight="false" outlineLevel="0" collapsed="false">
      <c r="C1719" s="0" t="n">
        <f aca="false">IF(AND(Comments!B1717='Policy card'!$C$3,Comments!N1717="Open"),1,0)</f>
        <v>0</v>
      </c>
      <c r="D1719" s="0" t="str">
        <f aca="false">IF(C1719=1,E1719,IF(P1719=1,$E$2003+Q1719,""))</f>
        <v/>
      </c>
      <c r="E1719" s="0" t="n">
        <f aca="false">E1718+C1719</f>
        <v>0</v>
      </c>
      <c r="P1719" s="0" t="n">
        <f aca="false">IF(AND(Comments!B1717='Policy card'!$C$3,Comments!N1717="Closed"),1,0)</f>
        <v>0</v>
      </c>
      <c r="Q1719" s="0" t="n">
        <f aca="false">Q1718+P1719</f>
        <v>7</v>
      </c>
    </row>
    <row r="1720" customFormat="false" ht="15" hidden="false" customHeight="false" outlineLevel="0" collapsed="false">
      <c r="C1720" s="0" t="n">
        <f aca="false">IF(AND(Comments!B1718='Policy card'!$C$3,Comments!N1718="Open"),1,0)</f>
        <v>0</v>
      </c>
      <c r="D1720" s="0" t="str">
        <f aca="false">IF(C1720=1,E1720,IF(P1720=1,$E$2003+Q1720,""))</f>
        <v/>
      </c>
      <c r="E1720" s="0" t="n">
        <f aca="false">E1719+C1720</f>
        <v>0</v>
      </c>
      <c r="P1720" s="0" t="n">
        <f aca="false">IF(AND(Comments!B1718='Policy card'!$C$3,Comments!N1718="Closed"),1,0)</f>
        <v>0</v>
      </c>
      <c r="Q1720" s="0" t="n">
        <f aca="false">Q1719+P1720</f>
        <v>7</v>
      </c>
    </row>
    <row r="1721" customFormat="false" ht="15" hidden="false" customHeight="false" outlineLevel="0" collapsed="false">
      <c r="C1721" s="0" t="n">
        <f aca="false">IF(AND(Comments!B1719='Policy card'!$C$3,Comments!N1719="Open"),1,0)</f>
        <v>0</v>
      </c>
      <c r="D1721" s="0" t="str">
        <f aca="false">IF(C1721=1,E1721,IF(P1721=1,$E$2003+Q1721,""))</f>
        <v/>
      </c>
      <c r="E1721" s="0" t="n">
        <f aca="false">E1720+C1721</f>
        <v>0</v>
      </c>
      <c r="P1721" s="0" t="n">
        <f aca="false">IF(AND(Comments!B1719='Policy card'!$C$3,Comments!N1719="Closed"),1,0)</f>
        <v>0</v>
      </c>
      <c r="Q1721" s="0" t="n">
        <f aca="false">Q1720+P1721</f>
        <v>7</v>
      </c>
    </row>
    <row r="1722" customFormat="false" ht="15" hidden="false" customHeight="false" outlineLevel="0" collapsed="false">
      <c r="C1722" s="0" t="n">
        <f aca="false">IF(AND(Comments!B1720='Policy card'!$C$3,Comments!N1720="Open"),1,0)</f>
        <v>0</v>
      </c>
      <c r="D1722" s="0" t="str">
        <f aca="false">IF(C1722=1,E1722,IF(P1722=1,$E$2003+Q1722,""))</f>
        <v/>
      </c>
      <c r="E1722" s="0" t="n">
        <f aca="false">E1721+C1722</f>
        <v>0</v>
      </c>
      <c r="P1722" s="0" t="n">
        <f aca="false">IF(AND(Comments!B1720='Policy card'!$C$3,Comments!N1720="Closed"),1,0)</f>
        <v>0</v>
      </c>
      <c r="Q1722" s="0" t="n">
        <f aca="false">Q1721+P1722</f>
        <v>7</v>
      </c>
    </row>
    <row r="1723" customFormat="false" ht="15" hidden="false" customHeight="false" outlineLevel="0" collapsed="false">
      <c r="C1723" s="0" t="n">
        <f aca="false">IF(AND(Comments!B1721='Policy card'!$C$3,Comments!N1721="Open"),1,0)</f>
        <v>0</v>
      </c>
      <c r="D1723" s="0" t="str">
        <f aca="false">IF(C1723=1,E1723,IF(P1723=1,$E$2003+Q1723,""))</f>
        <v/>
      </c>
      <c r="E1723" s="0" t="n">
        <f aca="false">E1722+C1723</f>
        <v>0</v>
      </c>
      <c r="P1723" s="0" t="n">
        <f aca="false">IF(AND(Comments!B1721='Policy card'!$C$3,Comments!N1721="Closed"),1,0)</f>
        <v>0</v>
      </c>
      <c r="Q1723" s="0" t="n">
        <f aca="false">Q1722+P1723</f>
        <v>7</v>
      </c>
    </row>
    <row r="1724" customFormat="false" ht="15" hidden="false" customHeight="false" outlineLevel="0" collapsed="false">
      <c r="C1724" s="0" t="n">
        <f aca="false">IF(AND(Comments!B1722='Policy card'!$C$3,Comments!N1722="Open"),1,0)</f>
        <v>0</v>
      </c>
      <c r="D1724" s="0" t="str">
        <f aca="false">IF(C1724=1,E1724,IF(P1724=1,$E$2003+Q1724,""))</f>
        <v/>
      </c>
      <c r="E1724" s="0" t="n">
        <f aca="false">E1723+C1724</f>
        <v>0</v>
      </c>
      <c r="P1724" s="0" t="n">
        <f aca="false">IF(AND(Comments!B1722='Policy card'!$C$3,Comments!N1722="Closed"),1,0)</f>
        <v>0</v>
      </c>
      <c r="Q1724" s="0" t="n">
        <f aca="false">Q1723+P1724</f>
        <v>7</v>
      </c>
    </row>
    <row r="1725" customFormat="false" ht="15" hidden="false" customHeight="false" outlineLevel="0" collapsed="false">
      <c r="C1725" s="0" t="n">
        <f aca="false">IF(AND(Comments!B1723='Policy card'!$C$3,Comments!N1723="Open"),1,0)</f>
        <v>0</v>
      </c>
      <c r="D1725" s="0" t="str">
        <f aca="false">IF(C1725=1,E1725,IF(P1725=1,$E$2003+Q1725,""))</f>
        <v/>
      </c>
      <c r="E1725" s="0" t="n">
        <f aca="false">E1724+C1725</f>
        <v>0</v>
      </c>
      <c r="P1725" s="0" t="n">
        <f aca="false">IF(AND(Comments!B1723='Policy card'!$C$3,Comments!N1723="Closed"),1,0)</f>
        <v>0</v>
      </c>
      <c r="Q1725" s="0" t="n">
        <f aca="false">Q1724+P1725</f>
        <v>7</v>
      </c>
    </row>
    <row r="1726" customFormat="false" ht="15" hidden="false" customHeight="false" outlineLevel="0" collapsed="false">
      <c r="C1726" s="0" t="n">
        <f aca="false">IF(AND(Comments!B1724='Policy card'!$C$3,Comments!N1724="Open"),1,0)</f>
        <v>0</v>
      </c>
      <c r="D1726" s="0" t="str">
        <f aca="false">IF(C1726=1,E1726,IF(P1726=1,$E$2003+Q1726,""))</f>
        <v/>
      </c>
      <c r="E1726" s="0" t="n">
        <f aca="false">E1725+C1726</f>
        <v>0</v>
      </c>
      <c r="P1726" s="0" t="n">
        <f aca="false">IF(AND(Comments!B1724='Policy card'!$C$3,Comments!N1724="Closed"),1,0)</f>
        <v>0</v>
      </c>
      <c r="Q1726" s="0" t="n">
        <f aca="false">Q1725+P1726</f>
        <v>7</v>
      </c>
    </row>
    <row r="1727" customFormat="false" ht="15" hidden="false" customHeight="false" outlineLevel="0" collapsed="false">
      <c r="C1727" s="0" t="n">
        <f aca="false">IF(AND(Comments!B1725='Policy card'!$C$3,Comments!N1725="Open"),1,0)</f>
        <v>0</v>
      </c>
      <c r="D1727" s="0" t="str">
        <f aca="false">IF(C1727=1,E1727,IF(P1727=1,$E$2003+Q1727,""))</f>
        <v/>
      </c>
      <c r="E1727" s="0" t="n">
        <f aca="false">E1726+C1727</f>
        <v>0</v>
      </c>
      <c r="P1727" s="0" t="n">
        <f aca="false">IF(AND(Comments!B1725='Policy card'!$C$3,Comments!N1725="Closed"),1,0)</f>
        <v>0</v>
      </c>
      <c r="Q1727" s="0" t="n">
        <f aca="false">Q1726+P1727</f>
        <v>7</v>
      </c>
    </row>
    <row r="1728" customFormat="false" ht="15" hidden="false" customHeight="false" outlineLevel="0" collapsed="false">
      <c r="C1728" s="0" t="n">
        <f aca="false">IF(AND(Comments!B1726='Policy card'!$C$3,Comments!N1726="Open"),1,0)</f>
        <v>0</v>
      </c>
      <c r="D1728" s="0" t="str">
        <f aca="false">IF(C1728=1,E1728,IF(P1728=1,$E$2003+Q1728,""))</f>
        <v/>
      </c>
      <c r="E1728" s="0" t="n">
        <f aca="false">E1727+C1728</f>
        <v>0</v>
      </c>
      <c r="P1728" s="0" t="n">
        <f aca="false">IF(AND(Comments!B1726='Policy card'!$C$3,Comments!N1726="Closed"),1,0)</f>
        <v>0</v>
      </c>
      <c r="Q1728" s="0" t="n">
        <f aca="false">Q1727+P1728</f>
        <v>7</v>
      </c>
    </row>
    <row r="1729" customFormat="false" ht="15" hidden="false" customHeight="false" outlineLevel="0" collapsed="false">
      <c r="C1729" s="0" t="n">
        <f aca="false">IF(AND(Comments!B1727='Policy card'!$C$3,Comments!N1727="Open"),1,0)</f>
        <v>0</v>
      </c>
      <c r="D1729" s="0" t="str">
        <f aca="false">IF(C1729=1,E1729,IF(P1729=1,$E$2003+Q1729,""))</f>
        <v/>
      </c>
      <c r="E1729" s="0" t="n">
        <f aca="false">E1728+C1729</f>
        <v>0</v>
      </c>
      <c r="P1729" s="0" t="n">
        <f aca="false">IF(AND(Comments!B1727='Policy card'!$C$3,Comments!N1727="Closed"),1,0)</f>
        <v>0</v>
      </c>
      <c r="Q1729" s="0" t="n">
        <f aca="false">Q1728+P1729</f>
        <v>7</v>
      </c>
    </row>
    <row r="1730" customFormat="false" ht="15" hidden="false" customHeight="false" outlineLevel="0" collapsed="false">
      <c r="C1730" s="0" t="n">
        <f aca="false">IF(AND(Comments!B1728='Policy card'!$C$3,Comments!N1728="Open"),1,0)</f>
        <v>0</v>
      </c>
      <c r="D1730" s="0" t="str">
        <f aca="false">IF(C1730=1,E1730,IF(P1730=1,$E$2003+Q1730,""))</f>
        <v/>
      </c>
      <c r="E1730" s="0" t="n">
        <f aca="false">E1729+C1730</f>
        <v>0</v>
      </c>
      <c r="P1730" s="0" t="n">
        <f aca="false">IF(AND(Comments!B1728='Policy card'!$C$3,Comments!N1728="Closed"),1,0)</f>
        <v>0</v>
      </c>
      <c r="Q1730" s="0" t="n">
        <f aca="false">Q1729+P1730</f>
        <v>7</v>
      </c>
    </row>
    <row r="1731" customFormat="false" ht="15" hidden="false" customHeight="false" outlineLevel="0" collapsed="false">
      <c r="C1731" s="0" t="n">
        <f aca="false">IF(AND(Comments!B1729='Policy card'!$C$3,Comments!N1729="Open"),1,0)</f>
        <v>0</v>
      </c>
      <c r="D1731" s="0" t="str">
        <f aca="false">IF(C1731=1,E1731,IF(P1731=1,$E$2003+Q1731,""))</f>
        <v/>
      </c>
      <c r="E1731" s="0" t="n">
        <f aca="false">E1730+C1731</f>
        <v>0</v>
      </c>
      <c r="P1731" s="0" t="n">
        <f aca="false">IF(AND(Comments!B1729='Policy card'!$C$3,Comments!N1729="Closed"),1,0)</f>
        <v>0</v>
      </c>
      <c r="Q1731" s="0" t="n">
        <f aca="false">Q1730+P1731</f>
        <v>7</v>
      </c>
    </row>
    <row r="1732" customFormat="false" ht="15" hidden="false" customHeight="false" outlineLevel="0" collapsed="false">
      <c r="C1732" s="0" t="n">
        <f aca="false">IF(AND(Comments!B1730='Policy card'!$C$3,Comments!N1730="Open"),1,0)</f>
        <v>0</v>
      </c>
      <c r="D1732" s="0" t="str">
        <f aca="false">IF(C1732=1,E1732,IF(P1732=1,$E$2003+Q1732,""))</f>
        <v/>
      </c>
      <c r="E1732" s="0" t="n">
        <f aca="false">E1731+C1732</f>
        <v>0</v>
      </c>
      <c r="P1732" s="0" t="n">
        <f aca="false">IF(AND(Comments!B1730='Policy card'!$C$3,Comments!N1730="Closed"),1,0)</f>
        <v>0</v>
      </c>
      <c r="Q1732" s="0" t="n">
        <f aca="false">Q1731+P1732</f>
        <v>7</v>
      </c>
    </row>
    <row r="1733" customFormat="false" ht="15" hidden="false" customHeight="false" outlineLevel="0" collapsed="false">
      <c r="C1733" s="0" t="n">
        <f aca="false">IF(AND(Comments!B1731='Policy card'!$C$3,Comments!N1731="Open"),1,0)</f>
        <v>0</v>
      </c>
      <c r="D1733" s="0" t="str">
        <f aca="false">IF(C1733=1,E1733,IF(P1733=1,$E$2003+Q1733,""))</f>
        <v/>
      </c>
      <c r="E1733" s="0" t="n">
        <f aca="false">E1732+C1733</f>
        <v>0</v>
      </c>
      <c r="P1733" s="0" t="n">
        <f aca="false">IF(AND(Comments!B1731='Policy card'!$C$3,Comments!N1731="Closed"),1,0)</f>
        <v>0</v>
      </c>
      <c r="Q1733" s="0" t="n">
        <f aca="false">Q1732+P1733</f>
        <v>7</v>
      </c>
    </row>
    <row r="1734" customFormat="false" ht="15" hidden="false" customHeight="false" outlineLevel="0" collapsed="false">
      <c r="C1734" s="0" t="n">
        <f aca="false">IF(AND(Comments!B1732='Policy card'!$C$3,Comments!N1732="Open"),1,0)</f>
        <v>0</v>
      </c>
      <c r="D1734" s="0" t="str">
        <f aca="false">IF(C1734=1,E1734,IF(P1734=1,$E$2003+Q1734,""))</f>
        <v/>
      </c>
      <c r="E1734" s="0" t="n">
        <f aca="false">E1733+C1734</f>
        <v>0</v>
      </c>
      <c r="P1734" s="0" t="n">
        <f aca="false">IF(AND(Comments!B1732='Policy card'!$C$3,Comments!N1732="Closed"),1,0)</f>
        <v>0</v>
      </c>
      <c r="Q1734" s="0" t="n">
        <f aca="false">Q1733+P1734</f>
        <v>7</v>
      </c>
    </row>
    <row r="1735" customFormat="false" ht="15" hidden="false" customHeight="false" outlineLevel="0" collapsed="false">
      <c r="C1735" s="0" t="n">
        <f aca="false">IF(AND(Comments!B1733='Policy card'!$C$3,Comments!N1733="Open"),1,0)</f>
        <v>0</v>
      </c>
      <c r="D1735" s="0" t="str">
        <f aca="false">IF(C1735=1,E1735,IF(P1735=1,$E$2003+Q1735,""))</f>
        <v/>
      </c>
      <c r="E1735" s="0" t="n">
        <f aca="false">E1734+C1735</f>
        <v>0</v>
      </c>
      <c r="P1735" s="0" t="n">
        <f aca="false">IF(AND(Comments!B1733='Policy card'!$C$3,Comments!N1733="Closed"),1,0)</f>
        <v>0</v>
      </c>
      <c r="Q1735" s="0" t="n">
        <f aca="false">Q1734+P1735</f>
        <v>7</v>
      </c>
    </row>
    <row r="1736" customFormat="false" ht="15" hidden="false" customHeight="false" outlineLevel="0" collapsed="false">
      <c r="C1736" s="0" t="n">
        <f aca="false">IF(AND(Comments!B1734='Policy card'!$C$3,Comments!N1734="Open"),1,0)</f>
        <v>0</v>
      </c>
      <c r="D1736" s="0" t="str">
        <f aca="false">IF(C1736=1,E1736,IF(P1736=1,$E$2003+Q1736,""))</f>
        <v/>
      </c>
      <c r="E1736" s="0" t="n">
        <f aca="false">E1735+C1736</f>
        <v>0</v>
      </c>
      <c r="P1736" s="0" t="n">
        <f aca="false">IF(AND(Comments!B1734='Policy card'!$C$3,Comments!N1734="Closed"),1,0)</f>
        <v>0</v>
      </c>
      <c r="Q1736" s="0" t="n">
        <f aca="false">Q1735+P1736</f>
        <v>7</v>
      </c>
    </row>
    <row r="1737" customFormat="false" ht="15" hidden="false" customHeight="false" outlineLevel="0" collapsed="false">
      <c r="C1737" s="0" t="n">
        <f aca="false">IF(AND(Comments!B1735='Policy card'!$C$3,Comments!N1735="Open"),1,0)</f>
        <v>0</v>
      </c>
      <c r="D1737" s="0" t="str">
        <f aca="false">IF(C1737=1,E1737,IF(P1737=1,$E$2003+Q1737,""))</f>
        <v/>
      </c>
      <c r="E1737" s="0" t="n">
        <f aca="false">E1736+C1737</f>
        <v>0</v>
      </c>
      <c r="P1737" s="0" t="n">
        <f aca="false">IF(AND(Comments!B1735='Policy card'!$C$3,Comments!N1735="Closed"),1,0)</f>
        <v>0</v>
      </c>
      <c r="Q1737" s="0" t="n">
        <f aca="false">Q1736+P1737</f>
        <v>7</v>
      </c>
    </row>
    <row r="1738" customFormat="false" ht="15" hidden="false" customHeight="false" outlineLevel="0" collapsed="false">
      <c r="C1738" s="0" t="n">
        <f aca="false">IF(AND(Comments!B1736='Policy card'!$C$3,Comments!N1736="Open"),1,0)</f>
        <v>0</v>
      </c>
      <c r="D1738" s="0" t="str">
        <f aca="false">IF(C1738=1,E1738,IF(P1738=1,$E$2003+Q1738,""))</f>
        <v/>
      </c>
      <c r="E1738" s="0" t="n">
        <f aca="false">E1737+C1738</f>
        <v>0</v>
      </c>
      <c r="P1738" s="0" t="n">
        <f aca="false">IF(AND(Comments!B1736='Policy card'!$C$3,Comments!N1736="Closed"),1,0)</f>
        <v>0</v>
      </c>
      <c r="Q1738" s="0" t="n">
        <f aca="false">Q1737+P1738</f>
        <v>7</v>
      </c>
    </row>
    <row r="1739" customFormat="false" ht="15" hidden="false" customHeight="false" outlineLevel="0" collapsed="false">
      <c r="C1739" s="0" t="n">
        <f aca="false">IF(AND(Comments!B1737='Policy card'!$C$3,Comments!N1737="Open"),1,0)</f>
        <v>0</v>
      </c>
      <c r="D1739" s="0" t="str">
        <f aca="false">IF(C1739=1,E1739,IF(P1739=1,$E$2003+Q1739,""))</f>
        <v/>
      </c>
      <c r="E1739" s="0" t="n">
        <f aca="false">E1738+C1739</f>
        <v>0</v>
      </c>
      <c r="P1739" s="0" t="n">
        <f aca="false">IF(AND(Comments!B1737='Policy card'!$C$3,Comments!N1737="Closed"),1,0)</f>
        <v>0</v>
      </c>
      <c r="Q1739" s="0" t="n">
        <f aca="false">Q1738+P1739</f>
        <v>7</v>
      </c>
    </row>
    <row r="1740" customFormat="false" ht="15" hidden="false" customHeight="false" outlineLevel="0" collapsed="false">
      <c r="C1740" s="0" t="n">
        <f aca="false">IF(AND(Comments!B1738='Policy card'!$C$3,Comments!N1738="Open"),1,0)</f>
        <v>0</v>
      </c>
      <c r="D1740" s="0" t="str">
        <f aca="false">IF(C1740=1,E1740,IF(P1740=1,$E$2003+Q1740,""))</f>
        <v/>
      </c>
      <c r="E1740" s="0" t="n">
        <f aca="false">E1739+C1740</f>
        <v>0</v>
      </c>
      <c r="P1740" s="0" t="n">
        <f aca="false">IF(AND(Comments!B1738='Policy card'!$C$3,Comments!N1738="Closed"),1,0)</f>
        <v>0</v>
      </c>
      <c r="Q1740" s="0" t="n">
        <f aca="false">Q1739+P1740</f>
        <v>7</v>
      </c>
    </row>
    <row r="1741" customFormat="false" ht="15" hidden="false" customHeight="false" outlineLevel="0" collapsed="false">
      <c r="C1741" s="0" t="n">
        <f aca="false">IF(AND(Comments!B1739='Policy card'!$C$3,Comments!N1739="Open"),1,0)</f>
        <v>0</v>
      </c>
      <c r="D1741" s="0" t="str">
        <f aca="false">IF(C1741=1,E1741,IF(P1741=1,$E$2003+Q1741,""))</f>
        <v/>
      </c>
      <c r="E1741" s="0" t="n">
        <f aca="false">E1740+C1741</f>
        <v>0</v>
      </c>
      <c r="P1741" s="0" t="n">
        <f aca="false">IF(AND(Comments!B1739='Policy card'!$C$3,Comments!N1739="Closed"),1,0)</f>
        <v>0</v>
      </c>
      <c r="Q1741" s="0" t="n">
        <f aca="false">Q1740+P1741</f>
        <v>7</v>
      </c>
    </row>
    <row r="1742" customFormat="false" ht="15" hidden="false" customHeight="false" outlineLevel="0" collapsed="false">
      <c r="C1742" s="0" t="n">
        <f aca="false">IF(AND(Comments!B1740='Policy card'!$C$3,Comments!N1740="Open"),1,0)</f>
        <v>0</v>
      </c>
      <c r="D1742" s="0" t="str">
        <f aca="false">IF(C1742=1,E1742,IF(P1742=1,$E$2003+Q1742,""))</f>
        <v/>
      </c>
      <c r="E1742" s="0" t="n">
        <f aca="false">E1741+C1742</f>
        <v>0</v>
      </c>
      <c r="P1742" s="0" t="n">
        <f aca="false">IF(AND(Comments!B1740='Policy card'!$C$3,Comments!N1740="Closed"),1,0)</f>
        <v>0</v>
      </c>
      <c r="Q1742" s="0" t="n">
        <f aca="false">Q1741+P1742</f>
        <v>7</v>
      </c>
    </row>
    <row r="1743" customFormat="false" ht="15" hidden="false" customHeight="false" outlineLevel="0" collapsed="false">
      <c r="C1743" s="0" t="n">
        <f aca="false">IF(AND(Comments!B1741='Policy card'!$C$3,Comments!N1741="Open"),1,0)</f>
        <v>0</v>
      </c>
      <c r="D1743" s="0" t="str">
        <f aca="false">IF(C1743=1,E1743,IF(P1743=1,$E$2003+Q1743,""))</f>
        <v/>
      </c>
      <c r="E1743" s="0" t="n">
        <f aca="false">E1742+C1743</f>
        <v>0</v>
      </c>
      <c r="P1743" s="0" t="n">
        <f aca="false">IF(AND(Comments!B1741='Policy card'!$C$3,Comments!N1741="Closed"),1,0)</f>
        <v>0</v>
      </c>
      <c r="Q1743" s="0" t="n">
        <f aca="false">Q1742+P1743</f>
        <v>7</v>
      </c>
    </row>
    <row r="1744" customFormat="false" ht="15" hidden="false" customHeight="false" outlineLevel="0" collapsed="false">
      <c r="C1744" s="0" t="n">
        <f aca="false">IF(AND(Comments!B1742='Policy card'!$C$3,Comments!N1742="Open"),1,0)</f>
        <v>0</v>
      </c>
      <c r="D1744" s="0" t="str">
        <f aca="false">IF(C1744=1,E1744,IF(P1744=1,$E$2003+Q1744,""))</f>
        <v/>
      </c>
      <c r="E1744" s="0" t="n">
        <f aca="false">E1743+C1744</f>
        <v>0</v>
      </c>
      <c r="P1744" s="0" t="n">
        <f aca="false">IF(AND(Comments!B1742='Policy card'!$C$3,Comments!N1742="Closed"),1,0)</f>
        <v>0</v>
      </c>
      <c r="Q1744" s="0" t="n">
        <f aca="false">Q1743+P1744</f>
        <v>7</v>
      </c>
    </row>
    <row r="1745" customFormat="false" ht="15" hidden="false" customHeight="false" outlineLevel="0" collapsed="false">
      <c r="C1745" s="0" t="n">
        <f aca="false">IF(AND(Comments!B1743='Policy card'!$C$3,Comments!N1743="Open"),1,0)</f>
        <v>0</v>
      </c>
      <c r="D1745" s="0" t="str">
        <f aca="false">IF(C1745=1,E1745,IF(P1745=1,$E$2003+Q1745,""))</f>
        <v/>
      </c>
      <c r="E1745" s="0" t="n">
        <f aca="false">E1744+C1745</f>
        <v>0</v>
      </c>
      <c r="P1745" s="0" t="n">
        <f aca="false">IF(AND(Comments!B1743='Policy card'!$C$3,Comments!N1743="Closed"),1,0)</f>
        <v>0</v>
      </c>
      <c r="Q1745" s="0" t="n">
        <f aca="false">Q1744+P1745</f>
        <v>7</v>
      </c>
    </row>
    <row r="1746" customFormat="false" ht="15" hidden="false" customHeight="false" outlineLevel="0" collapsed="false">
      <c r="C1746" s="0" t="n">
        <f aca="false">IF(AND(Comments!B1744='Policy card'!$C$3,Comments!N1744="Open"),1,0)</f>
        <v>0</v>
      </c>
      <c r="D1746" s="0" t="str">
        <f aca="false">IF(C1746=1,E1746,IF(P1746=1,$E$2003+Q1746,""))</f>
        <v/>
      </c>
      <c r="E1746" s="0" t="n">
        <f aca="false">E1745+C1746</f>
        <v>0</v>
      </c>
      <c r="P1746" s="0" t="n">
        <f aca="false">IF(AND(Comments!B1744='Policy card'!$C$3,Comments!N1744="Closed"),1,0)</f>
        <v>0</v>
      </c>
      <c r="Q1746" s="0" t="n">
        <f aca="false">Q1745+P1746</f>
        <v>7</v>
      </c>
    </row>
    <row r="1747" customFormat="false" ht="15" hidden="false" customHeight="false" outlineLevel="0" collapsed="false">
      <c r="C1747" s="0" t="n">
        <f aca="false">IF(AND(Comments!B1745='Policy card'!$C$3,Comments!N1745="Open"),1,0)</f>
        <v>0</v>
      </c>
      <c r="D1747" s="0" t="str">
        <f aca="false">IF(C1747=1,E1747,IF(P1747=1,$E$2003+Q1747,""))</f>
        <v/>
      </c>
      <c r="E1747" s="0" t="n">
        <f aca="false">E1746+C1747</f>
        <v>0</v>
      </c>
      <c r="P1747" s="0" t="n">
        <f aca="false">IF(AND(Comments!B1745='Policy card'!$C$3,Comments!N1745="Closed"),1,0)</f>
        <v>0</v>
      </c>
      <c r="Q1747" s="0" t="n">
        <f aca="false">Q1746+P1747</f>
        <v>7</v>
      </c>
    </row>
    <row r="1748" customFormat="false" ht="15" hidden="false" customHeight="false" outlineLevel="0" collapsed="false">
      <c r="C1748" s="0" t="n">
        <f aca="false">IF(AND(Comments!B1746='Policy card'!$C$3,Comments!N1746="Open"),1,0)</f>
        <v>0</v>
      </c>
      <c r="D1748" s="0" t="str">
        <f aca="false">IF(C1748=1,E1748,IF(P1748=1,$E$2003+Q1748,""))</f>
        <v/>
      </c>
      <c r="E1748" s="0" t="n">
        <f aca="false">E1747+C1748</f>
        <v>0</v>
      </c>
      <c r="P1748" s="0" t="n">
        <f aca="false">IF(AND(Comments!B1746='Policy card'!$C$3,Comments!N1746="Closed"),1,0)</f>
        <v>0</v>
      </c>
      <c r="Q1748" s="0" t="n">
        <f aca="false">Q1747+P1748</f>
        <v>7</v>
      </c>
    </row>
    <row r="1749" customFormat="false" ht="15" hidden="false" customHeight="false" outlineLevel="0" collapsed="false">
      <c r="C1749" s="0" t="n">
        <f aca="false">IF(AND(Comments!B1747='Policy card'!$C$3,Comments!N1747="Open"),1,0)</f>
        <v>0</v>
      </c>
      <c r="D1749" s="0" t="str">
        <f aca="false">IF(C1749=1,E1749,IF(P1749=1,$E$2003+Q1749,""))</f>
        <v/>
      </c>
      <c r="E1749" s="0" t="n">
        <f aca="false">E1748+C1749</f>
        <v>0</v>
      </c>
      <c r="P1749" s="0" t="n">
        <f aca="false">IF(AND(Comments!B1747='Policy card'!$C$3,Comments!N1747="Closed"),1,0)</f>
        <v>0</v>
      </c>
      <c r="Q1749" s="0" t="n">
        <f aca="false">Q1748+P1749</f>
        <v>7</v>
      </c>
    </row>
    <row r="1750" customFormat="false" ht="15" hidden="false" customHeight="false" outlineLevel="0" collapsed="false">
      <c r="C1750" s="0" t="n">
        <f aca="false">IF(AND(Comments!B1748='Policy card'!$C$3,Comments!N1748="Open"),1,0)</f>
        <v>0</v>
      </c>
      <c r="D1750" s="0" t="str">
        <f aca="false">IF(C1750=1,E1750,IF(P1750=1,$E$2003+Q1750,""))</f>
        <v/>
      </c>
      <c r="E1750" s="0" t="n">
        <f aca="false">E1749+C1750</f>
        <v>0</v>
      </c>
      <c r="P1750" s="0" t="n">
        <f aca="false">IF(AND(Comments!B1748='Policy card'!$C$3,Comments!N1748="Closed"),1,0)</f>
        <v>0</v>
      </c>
      <c r="Q1750" s="0" t="n">
        <f aca="false">Q1749+P1750</f>
        <v>7</v>
      </c>
    </row>
    <row r="1751" customFormat="false" ht="15" hidden="false" customHeight="false" outlineLevel="0" collapsed="false">
      <c r="C1751" s="0" t="n">
        <f aca="false">IF(AND(Comments!B1749='Policy card'!$C$3,Comments!N1749="Open"),1,0)</f>
        <v>0</v>
      </c>
      <c r="D1751" s="0" t="str">
        <f aca="false">IF(C1751=1,E1751,IF(P1751=1,$E$2003+Q1751,""))</f>
        <v/>
      </c>
      <c r="E1751" s="0" t="n">
        <f aca="false">E1750+C1751</f>
        <v>0</v>
      </c>
      <c r="P1751" s="0" t="n">
        <f aca="false">IF(AND(Comments!B1749='Policy card'!$C$3,Comments!N1749="Closed"),1,0)</f>
        <v>0</v>
      </c>
      <c r="Q1751" s="0" t="n">
        <f aca="false">Q1750+P1751</f>
        <v>7</v>
      </c>
    </row>
    <row r="1752" customFormat="false" ht="15" hidden="false" customHeight="false" outlineLevel="0" collapsed="false">
      <c r="C1752" s="0" t="n">
        <f aca="false">IF(AND(Comments!B1750='Policy card'!$C$3,Comments!N1750="Open"),1,0)</f>
        <v>0</v>
      </c>
      <c r="D1752" s="0" t="str">
        <f aca="false">IF(C1752=1,E1752,IF(P1752=1,$E$2003+Q1752,""))</f>
        <v/>
      </c>
      <c r="E1752" s="0" t="n">
        <f aca="false">E1751+C1752</f>
        <v>0</v>
      </c>
      <c r="P1752" s="0" t="n">
        <f aca="false">IF(AND(Comments!B1750='Policy card'!$C$3,Comments!N1750="Closed"),1,0)</f>
        <v>0</v>
      </c>
      <c r="Q1752" s="0" t="n">
        <f aca="false">Q1751+P1752</f>
        <v>7</v>
      </c>
    </row>
    <row r="1753" customFormat="false" ht="15" hidden="false" customHeight="false" outlineLevel="0" collapsed="false">
      <c r="C1753" s="0" t="n">
        <f aca="false">IF(AND(Comments!B1751='Policy card'!$C$3,Comments!N1751="Open"),1,0)</f>
        <v>0</v>
      </c>
      <c r="D1753" s="0" t="str">
        <f aca="false">IF(C1753=1,E1753,IF(P1753=1,$E$2003+Q1753,""))</f>
        <v/>
      </c>
      <c r="E1753" s="0" t="n">
        <f aca="false">E1752+C1753</f>
        <v>0</v>
      </c>
      <c r="P1753" s="0" t="n">
        <f aca="false">IF(AND(Comments!B1751='Policy card'!$C$3,Comments!N1751="Closed"),1,0)</f>
        <v>0</v>
      </c>
      <c r="Q1753" s="0" t="n">
        <f aca="false">Q1752+P1753</f>
        <v>7</v>
      </c>
    </row>
    <row r="1754" customFormat="false" ht="15" hidden="false" customHeight="false" outlineLevel="0" collapsed="false">
      <c r="C1754" s="0" t="n">
        <f aca="false">IF(AND(Comments!B1752='Policy card'!$C$3,Comments!N1752="Open"),1,0)</f>
        <v>0</v>
      </c>
      <c r="D1754" s="0" t="str">
        <f aca="false">IF(C1754=1,E1754,IF(P1754=1,$E$2003+Q1754,""))</f>
        <v/>
      </c>
      <c r="E1754" s="0" t="n">
        <f aca="false">E1753+C1754</f>
        <v>0</v>
      </c>
      <c r="P1754" s="0" t="n">
        <f aca="false">IF(AND(Comments!B1752='Policy card'!$C$3,Comments!N1752="Closed"),1,0)</f>
        <v>0</v>
      </c>
      <c r="Q1754" s="0" t="n">
        <f aca="false">Q1753+P1754</f>
        <v>7</v>
      </c>
    </row>
    <row r="1755" customFormat="false" ht="15" hidden="false" customHeight="false" outlineLevel="0" collapsed="false">
      <c r="C1755" s="0" t="n">
        <f aca="false">IF(AND(Comments!B1753='Policy card'!$C$3,Comments!N1753="Open"),1,0)</f>
        <v>0</v>
      </c>
      <c r="D1755" s="0" t="str">
        <f aca="false">IF(C1755=1,E1755,IF(P1755=1,$E$2003+Q1755,""))</f>
        <v/>
      </c>
      <c r="E1755" s="0" t="n">
        <f aca="false">E1754+C1755</f>
        <v>0</v>
      </c>
      <c r="P1755" s="0" t="n">
        <f aca="false">IF(AND(Comments!B1753='Policy card'!$C$3,Comments!N1753="Closed"),1,0)</f>
        <v>0</v>
      </c>
      <c r="Q1755" s="0" t="n">
        <f aca="false">Q1754+P1755</f>
        <v>7</v>
      </c>
    </row>
    <row r="1756" customFormat="false" ht="15" hidden="false" customHeight="false" outlineLevel="0" collapsed="false">
      <c r="C1756" s="0" t="n">
        <f aca="false">IF(AND(Comments!B1754='Policy card'!$C$3,Comments!N1754="Open"),1,0)</f>
        <v>0</v>
      </c>
      <c r="D1756" s="0" t="str">
        <f aca="false">IF(C1756=1,E1756,IF(P1756=1,$E$2003+Q1756,""))</f>
        <v/>
      </c>
      <c r="E1756" s="0" t="n">
        <f aca="false">E1755+C1756</f>
        <v>0</v>
      </c>
      <c r="P1756" s="0" t="n">
        <f aca="false">IF(AND(Comments!B1754='Policy card'!$C$3,Comments!N1754="Closed"),1,0)</f>
        <v>0</v>
      </c>
      <c r="Q1756" s="0" t="n">
        <f aca="false">Q1755+P1756</f>
        <v>7</v>
      </c>
    </row>
    <row r="1757" customFormat="false" ht="15" hidden="false" customHeight="false" outlineLevel="0" collapsed="false">
      <c r="C1757" s="0" t="n">
        <f aca="false">IF(AND(Comments!B1755='Policy card'!$C$3,Comments!N1755="Open"),1,0)</f>
        <v>0</v>
      </c>
      <c r="D1757" s="0" t="str">
        <f aca="false">IF(C1757=1,E1757,IF(P1757=1,$E$2003+Q1757,""))</f>
        <v/>
      </c>
      <c r="E1757" s="0" t="n">
        <f aca="false">E1756+C1757</f>
        <v>0</v>
      </c>
      <c r="P1757" s="0" t="n">
        <f aca="false">IF(AND(Comments!B1755='Policy card'!$C$3,Comments!N1755="Closed"),1,0)</f>
        <v>0</v>
      </c>
      <c r="Q1757" s="0" t="n">
        <f aca="false">Q1756+P1757</f>
        <v>7</v>
      </c>
    </row>
    <row r="1758" customFormat="false" ht="15" hidden="false" customHeight="false" outlineLevel="0" collapsed="false">
      <c r="C1758" s="0" t="n">
        <f aca="false">IF(AND(Comments!B1756='Policy card'!$C$3,Comments!N1756="Open"),1,0)</f>
        <v>0</v>
      </c>
      <c r="D1758" s="0" t="str">
        <f aca="false">IF(C1758=1,E1758,IF(P1758=1,$E$2003+Q1758,""))</f>
        <v/>
      </c>
      <c r="E1758" s="0" t="n">
        <f aca="false">E1757+C1758</f>
        <v>0</v>
      </c>
      <c r="P1758" s="0" t="n">
        <f aca="false">IF(AND(Comments!B1756='Policy card'!$C$3,Comments!N1756="Closed"),1,0)</f>
        <v>0</v>
      </c>
      <c r="Q1758" s="0" t="n">
        <f aca="false">Q1757+P1758</f>
        <v>7</v>
      </c>
    </row>
    <row r="1759" customFormat="false" ht="15" hidden="false" customHeight="false" outlineLevel="0" collapsed="false">
      <c r="C1759" s="0" t="n">
        <f aca="false">IF(AND(Comments!B1757='Policy card'!$C$3,Comments!N1757="Open"),1,0)</f>
        <v>0</v>
      </c>
      <c r="D1759" s="0" t="str">
        <f aca="false">IF(C1759=1,E1759,IF(P1759=1,$E$2003+Q1759,""))</f>
        <v/>
      </c>
      <c r="E1759" s="0" t="n">
        <f aca="false">E1758+C1759</f>
        <v>0</v>
      </c>
      <c r="P1759" s="0" t="n">
        <f aca="false">IF(AND(Comments!B1757='Policy card'!$C$3,Comments!N1757="Closed"),1,0)</f>
        <v>0</v>
      </c>
      <c r="Q1759" s="0" t="n">
        <f aca="false">Q1758+P1759</f>
        <v>7</v>
      </c>
    </row>
    <row r="1760" customFormat="false" ht="15" hidden="false" customHeight="false" outlineLevel="0" collapsed="false">
      <c r="C1760" s="0" t="n">
        <f aca="false">IF(AND(Comments!B1758='Policy card'!$C$3,Comments!N1758="Open"),1,0)</f>
        <v>0</v>
      </c>
      <c r="D1760" s="0" t="str">
        <f aca="false">IF(C1760=1,E1760,IF(P1760=1,$E$2003+Q1760,""))</f>
        <v/>
      </c>
      <c r="E1760" s="0" t="n">
        <f aca="false">E1759+C1760</f>
        <v>0</v>
      </c>
      <c r="P1760" s="0" t="n">
        <f aca="false">IF(AND(Comments!B1758='Policy card'!$C$3,Comments!N1758="Closed"),1,0)</f>
        <v>0</v>
      </c>
      <c r="Q1760" s="0" t="n">
        <f aca="false">Q1759+P1760</f>
        <v>7</v>
      </c>
    </row>
    <row r="1761" customFormat="false" ht="15" hidden="false" customHeight="false" outlineLevel="0" collapsed="false">
      <c r="C1761" s="0" t="n">
        <f aca="false">IF(AND(Comments!B1759='Policy card'!$C$3,Comments!N1759="Open"),1,0)</f>
        <v>0</v>
      </c>
      <c r="D1761" s="0" t="str">
        <f aca="false">IF(C1761=1,E1761,IF(P1761=1,$E$2003+Q1761,""))</f>
        <v/>
      </c>
      <c r="E1761" s="0" t="n">
        <f aca="false">E1760+C1761</f>
        <v>0</v>
      </c>
      <c r="P1761" s="0" t="n">
        <f aca="false">IF(AND(Comments!B1759='Policy card'!$C$3,Comments!N1759="Closed"),1,0)</f>
        <v>0</v>
      </c>
      <c r="Q1761" s="0" t="n">
        <f aca="false">Q1760+P1761</f>
        <v>7</v>
      </c>
    </row>
    <row r="1762" customFormat="false" ht="15" hidden="false" customHeight="false" outlineLevel="0" collapsed="false">
      <c r="C1762" s="0" t="n">
        <f aca="false">IF(AND(Comments!B1760='Policy card'!$C$3,Comments!N1760="Open"),1,0)</f>
        <v>0</v>
      </c>
      <c r="D1762" s="0" t="str">
        <f aca="false">IF(C1762=1,E1762,IF(P1762=1,$E$2003+Q1762,""))</f>
        <v/>
      </c>
      <c r="E1762" s="0" t="n">
        <f aca="false">E1761+C1762</f>
        <v>0</v>
      </c>
      <c r="P1762" s="0" t="n">
        <f aca="false">IF(AND(Comments!B1760='Policy card'!$C$3,Comments!N1760="Closed"),1,0)</f>
        <v>0</v>
      </c>
      <c r="Q1762" s="0" t="n">
        <f aca="false">Q1761+P1762</f>
        <v>7</v>
      </c>
    </row>
    <row r="1763" customFormat="false" ht="15" hidden="false" customHeight="false" outlineLevel="0" collapsed="false">
      <c r="C1763" s="0" t="n">
        <f aca="false">IF(AND(Comments!B1761='Policy card'!$C$3,Comments!N1761="Open"),1,0)</f>
        <v>0</v>
      </c>
      <c r="D1763" s="0" t="str">
        <f aca="false">IF(C1763=1,E1763,IF(P1763=1,$E$2003+Q1763,""))</f>
        <v/>
      </c>
      <c r="E1763" s="0" t="n">
        <f aca="false">E1762+C1763</f>
        <v>0</v>
      </c>
      <c r="P1763" s="0" t="n">
        <f aca="false">IF(AND(Comments!B1761='Policy card'!$C$3,Comments!N1761="Closed"),1,0)</f>
        <v>0</v>
      </c>
      <c r="Q1763" s="0" t="n">
        <f aca="false">Q1762+P1763</f>
        <v>7</v>
      </c>
    </row>
    <row r="1764" customFormat="false" ht="15" hidden="false" customHeight="false" outlineLevel="0" collapsed="false">
      <c r="C1764" s="0" t="n">
        <f aca="false">IF(AND(Comments!B1762='Policy card'!$C$3,Comments!N1762="Open"),1,0)</f>
        <v>0</v>
      </c>
      <c r="D1764" s="0" t="str">
        <f aca="false">IF(C1764=1,E1764,IF(P1764=1,$E$2003+Q1764,""))</f>
        <v/>
      </c>
      <c r="E1764" s="0" t="n">
        <f aca="false">E1763+C1764</f>
        <v>0</v>
      </c>
      <c r="P1764" s="0" t="n">
        <f aca="false">IF(AND(Comments!B1762='Policy card'!$C$3,Comments!N1762="Closed"),1,0)</f>
        <v>0</v>
      </c>
      <c r="Q1764" s="0" t="n">
        <f aca="false">Q1763+P1764</f>
        <v>7</v>
      </c>
    </row>
    <row r="1765" customFormat="false" ht="15" hidden="false" customHeight="false" outlineLevel="0" collapsed="false">
      <c r="C1765" s="0" t="n">
        <f aca="false">IF(AND(Comments!B1763='Policy card'!$C$3,Comments!N1763="Open"),1,0)</f>
        <v>0</v>
      </c>
      <c r="D1765" s="0" t="str">
        <f aca="false">IF(C1765=1,E1765,IF(P1765=1,$E$2003+Q1765,""))</f>
        <v/>
      </c>
      <c r="E1765" s="0" t="n">
        <f aca="false">E1764+C1765</f>
        <v>0</v>
      </c>
      <c r="P1765" s="0" t="n">
        <f aca="false">IF(AND(Comments!B1763='Policy card'!$C$3,Comments!N1763="Closed"),1,0)</f>
        <v>0</v>
      </c>
      <c r="Q1765" s="0" t="n">
        <f aca="false">Q1764+P1765</f>
        <v>7</v>
      </c>
    </row>
    <row r="1766" customFormat="false" ht="15" hidden="false" customHeight="false" outlineLevel="0" collapsed="false">
      <c r="C1766" s="0" t="n">
        <f aca="false">IF(AND(Comments!B1764='Policy card'!$C$3,Comments!N1764="Open"),1,0)</f>
        <v>0</v>
      </c>
      <c r="D1766" s="0" t="str">
        <f aca="false">IF(C1766=1,E1766,IF(P1766=1,$E$2003+Q1766,""))</f>
        <v/>
      </c>
      <c r="E1766" s="0" t="n">
        <f aca="false">E1765+C1766</f>
        <v>0</v>
      </c>
      <c r="P1766" s="0" t="n">
        <f aca="false">IF(AND(Comments!B1764='Policy card'!$C$3,Comments!N1764="Closed"),1,0)</f>
        <v>0</v>
      </c>
      <c r="Q1766" s="0" t="n">
        <f aca="false">Q1765+P1766</f>
        <v>7</v>
      </c>
    </row>
    <row r="1767" customFormat="false" ht="15" hidden="false" customHeight="false" outlineLevel="0" collapsed="false">
      <c r="C1767" s="0" t="n">
        <f aca="false">IF(AND(Comments!B1765='Policy card'!$C$3,Comments!N1765="Open"),1,0)</f>
        <v>0</v>
      </c>
      <c r="D1767" s="0" t="str">
        <f aca="false">IF(C1767=1,E1767,IF(P1767=1,$E$2003+Q1767,""))</f>
        <v/>
      </c>
      <c r="E1767" s="0" t="n">
        <f aca="false">E1766+C1767</f>
        <v>0</v>
      </c>
      <c r="P1767" s="0" t="n">
        <f aca="false">IF(AND(Comments!B1765='Policy card'!$C$3,Comments!N1765="Closed"),1,0)</f>
        <v>0</v>
      </c>
      <c r="Q1767" s="0" t="n">
        <f aca="false">Q1766+P1767</f>
        <v>7</v>
      </c>
    </row>
    <row r="1768" customFormat="false" ht="15" hidden="false" customHeight="false" outlineLevel="0" collapsed="false">
      <c r="C1768" s="0" t="n">
        <f aca="false">IF(AND(Comments!B1766='Policy card'!$C$3,Comments!N1766="Open"),1,0)</f>
        <v>0</v>
      </c>
      <c r="D1768" s="0" t="str">
        <f aca="false">IF(C1768=1,E1768,IF(P1768=1,$E$2003+Q1768,""))</f>
        <v/>
      </c>
      <c r="E1768" s="0" t="n">
        <f aca="false">E1767+C1768</f>
        <v>0</v>
      </c>
      <c r="P1768" s="0" t="n">
        <f aca="false">IF(AND(Comments!B1766='Policy card'!$C$3,Comments!N1766="Closed"),1,0)</f>
        <v>0</v>
      </c>
      <c r="Q1768" s="0" t="n">
        <f aca="false">Q1767+P1768</f>
        <v>7</v>
      </c>
    </row>
    <row r="1769" customFormat="false" ht="15" hidden="false" customHeight="false" outlineLevel="0" collapsed="false">
      <c r="C1769" s="0" t="n">
        <f aca="false">IF(AND(Comments!B1767='Policy card'!$C$3,Comments!N1767="Open"),1,0)</f>
        <v>0</v>
      </c>
      <c r="D1769" s="0" t="str">
        <f aca="false">IF(C1769=1,E1769,IF(P1769=1,$E$2003+Q1769,""))</f>
        <v/>
      </c>
      <c r="E1769" s="0" t="n">
        <f aca="false">E1768+C1769</f>
        <v>0</v>
      </c>
      <c r="P1769" s="0" t="n">
        <f aca="false">IF(AND(Comments!B1767='Policy card'!$C$3,Comments!N1767="Closed"),1,0)</f>
        <v>0</v>
      </c>
      <c r="Q1769" s="0" t="n">
        <f aca="false">Q1768+P1769</f>
        <v>7</v>
      </c>
    </row>
    <row r="1770" customFormat="false" ht="15" hidden="false" customHeight="false" outlineLevel="0" collapsed="false">
      <c r="C1770" s="0" t="n">
        <f aca="false">IF(AND(Comments!B1768='Policy card'!$C$3,Comments!N1768="Open"),1,0)</f>
        <v>0</v>
      </c>
      <c r="D1770" s="0" t="str">
        <f aca="false">IF(C1770=1,E1770,IF(P1770=1,$E$2003+Q1770,""))</f>
        <v/>
      </c>
      <c r="E1770" s="0" t="n">
        <f aca="false">E1769+C1770</f>
        <v>0</v>
      </c>
      <c r="P1770" s="0" t="n">
        <f aca="false">IF(AND(Comments!B1768='Policy card'!$C$3,Comments!N1768="Closed"),1,0)</f>
        <v>0</v>
      </c>
      <c r="Q1770" s="0" t="n">
        <f aca="false">Q1769+P1770</f>
        <v>7</v>
      </c>
    </row>
    <row r="1771" customFormat="false" ht="15" hidden="false" customHeight="false" outlineLevel="0" collapsed="false">
      <c r="C1771" s="0" t="n">
        <f aca="false">IF(AND(Comments!B1769='Policy card'!$C$3,Comments!N1769="Open"),1,0)</f>
        <v>0</v>
      </c>
      <c r="D1771" s="0" t="str">
        <f aca="false">IF(C1771=1,E1771,IF(P1771=1,$E$2003+Q1771,""))</f>
        <v/>
      </c>
      <c r="E1771" s="0" t="n">
        <f aca="false">E1770+C1771</f>
        <v>0</v>
      </c>
      <c r="P1771" s="0" t="n">
        <f aca="false">IF(AND(Comments!B1769='Policy card'!$C$3,Comments!N1769="Closed"),1,0)</f>
        <v>0</v>
      </c>
      <c r="Q1771" s="0" t="n">
        <f aca="false">Q1770+P1771</f>
        <v>7</v>
      </c>
    </row>
    <row r="1772" customFormat="false" ht="15" hidden="false" customHeight="false" outlineLevel="0" collapsed="false">
      <c r="C1772" s="0" t="n">
        <f aca="false">IF(AND(Comments!B1770='Policy card'!$C$3,Comments!N1770="Open"),1,0)</f>
        <v>0</v>
      </c>
      <c r="D1772" s="0" t="str">
        <f aca="false">IF(C1772=1,E1772,IF(P1772=1,$E$2003+Q1772,""))</f>
        <v/>
      </c>
      <c r="E1772" s="0" t="n">
        <f aca="false">E1771+C1772</f>
        <v>0</v>
      </c>
      <c r="P1772" s="0" t="n">
        <f aca="false">IF(AND(Comments!B1770='Policy card'!$C$3,Comments!N1770="Closed"),1,0)</f>
        <v>0</v>
      </c>
      <c r="Q1772" s="0" t="n">
        <f aca="false">Q1771+P1772</f>
        <v>7</v>
      </c>
    </row>
    <row r="1773" customFormat="false" ht="15" hidden="false" customHeight="false" outlineLevel="0" collapsed="false">
      <c r="C1773" s="0" t="n">
        <f aca="false">IF(AND(Comments!B1771='Policy card'!$C$3,Comments!N1771="Open"),1,0)</f>
        <v>0</v>
      </c>
      <c r="D1773" s="0" t="str">
        <f aca="false">IF(C1773=1,E1773,IF(P1773=1,$E$2003+Q1773,""))</f>
        <v/>
      </c>
      <c r="E1773" s="0" t="n">
        <f aca="false">E1772+C1773</f>
        <v>0</v>
      </c>
      <c r="P1773" s="0" t="n">
        <f aca="false">IF(AND(Comments!B1771='Policy card'!$C$3,Comments!N1771="Closed"),1,0)</f>
        <v>0</v>
      </c>
      <c r="Q1773" s="0" t="n">
        <f aca="false">Q1772+P1773</f>
        <v>7</v>
      </c>
    </row>
    <row r="1774" customFormat="false" ht="15" hidden="false" customHeight="false" outlineLevel="0" collapsed="false">
      <c r="C1774" s="0" t="n">
        <f aca="false">IF(AND(Comments!B1772='Policy card'!$C$3,Comments!N1772="Open"),1,0)</f>
        <v>0</v>
      </c>
      <c r="D1774" s="0" t="str">
        <f aca="false">IF(C1774=1,E1774,IF(P1774=1,$E$2003+Q1774,""))</f>
        <v/>
      </c>
      <c r="E1774" s="0" t="n">
        <f aca="false">E1773+C1774</f>
        <v>0</v>
      </c>
      <c r="P1774" s="0" t="n">
        <f aca="false">IF(AND(Comments!B1772='Policy card'!$C$3,Comments!N1772="Closed"),1,0)</f>
        <v>0</v>
      </c>
      <c r="Q1774" s="0" t="n">
        <f aca="false">Q1773+P1774</f>
        <v>7</v>
      </c>
    </row>
    <row r="1775" customFormat="false" ht="15" hidden="false" customHeight="false" outlineLevel="0" collapsed="false">
      <c r="C1775" s="0" t="n">
        <f aca="false">IF(AND(Comments!B1773='Policy card'!$C$3,Comments!N1773="Open"),1,0)</f>
        <v>0</v>
      </c>
      <c r="D1775" s="0" t="str">
        <f aca="false">IF(C1775=1,E1775,IF(P1775=1,$E$2003+Q1775,""))</f>
        <v/>
      </c>
      <c r="E1775" s="0" t="n">
        <f aca="false">E1774+C1775</f>
        <v>0</v>
      </c>
      <c r="P1775" s="0" t="n">
        <f aca="false">IF(AND(Comments!B1773='Policy card'!$C$3,Comments!N1773="Closed"),1,0)</f>
        <v>0</v>
      </c>
      <c r="Q1775" s="0" t="n">
        <f aca="false">Q1774+P1775</f>
        <v>7</v>
      </c>
    </row>
    <row r="1776" customFormat="false" ht="15" hidden="false" customHeight="false" outlineLevel="0" collapsed="false">
      <c r="C1776" s="0" t="n">
        <f aca="false">IF(AND(Comments!B1774='Policy card'!$C$3,Comments!N1774="Open"),1,0)</f>
        <v>0</v>
      </c>
      <c r="D1776" s="0" t="str">
        <f aca="false">IF(C1776=1,E1776,IF(P1776=1,$E$2003+Q1776,""))</f>
        <v/>
      </c>
      <c r="E1776" s="0" t="n">
        <f aca="false">E1775+C1776</f>
        <v>0</v>
      </c>
      <c r="P1776" s="0" t="n">
        <f aca="false">IF(AND(Comments!B1774='Policy card'!$C$3,Comments!N1774="Closed"),1,0)</f>
        <v>0</v>
      </c>
      <c r="Q1776" s="0" t="n">
        <f aca="false">Q1775+P1776</f>
        <v>7</v>
      </c>
    </row>
    <row r="1777" customFormat="false" ht="15" hidden="false" customHeight="false" outlineLevel="0" collapsed="false">
      <c r="C1777" s="0" t="n">
        <f aca="false">IF(AND(Comments!B1775='Policy card'!$C$3,Comments!N1775="Open"),1,0)</f>
        <v>0</v>
      </c>
      <c r="D1777" s="0" t="str">
        <f aca="false">IF(C1777=1,E1777,IF(P1777=1,$E$2003+Q1777,""))</f>
        <v/>
      </c>
      <c r="E1777" s="0" t="n">
        <f aca="false">E1776+C1777</f>
        <v>0</v>
      </c>
      <c r="P1777" s="0" t="n">
        <f aca="false">IF(AND(Comments!B1775='Policy card'!$C$3,Comments!N1775="Closed"),1,0)</f>
        <v>0</v>
      </c>
      <c r="Q1777" s="0" t="n">
        <f aca="false">Q1776+P1777</f>
        <v>7</v>
      </c>
    </row>
    <row r="1778" customFormat="false" ht="15" hidden="false" customHeight="false" outlineLevel="0" collapsed="false">
      <c r="C1778" s="0" t="n">
        <f aca="false">IF(AND(Comments!B1776='Policy card'!$C$3,Comments!N1776="Open"),1,0)</f>
        <v>0</v>
      </c>
      <c r="D1778" s="0" t="str">
        <f aca="false">IF(C1778=1,E1778,IF(P1778=1,$E$2003+Q1778,""))</f>
        <v/>
      </c>
      <c r="E1778" s="0" t="n">
        <f aca="false">E1777+C1778</f>
        <v>0</v>
      </c>
      <c r="P1778" s="0" t="n">
        <f aca="false">IF(AND(Comments!B1776='Policy card'!$C$3,Comments!N1776="Closed"),1,0)</f>
        <v>0</v>
      </c>
      <c r="Q1778" s="0" t="n">
        <f aca="false">Q1777+P1778</f>
        <v>7</v>
      </c>
    </row>
    <row r="1779" customFormat="false" ht="15" hidden="false" customHeight="false" outlineLevel="0" collapsed="false">
      <c r="C1779" s="0" t="n">
        <f aca="false">IF(AND(Comments!B1777='Policy card'!$C$3,Comments!N1777="Open"),1,0)</f>
        <v>0</v>
      </c>
      <c r="D1779" s="0" t="str">
        <f aca="false">IF(C1779=1,E1779,IF(P1779=1,$E$2003+Q1779,""))</f>
        <v/>
      </c>
      <c r="E1779" s="0" t="n">
        <f aca="false">E1778+C1779</f>
        <v>0</v>
      </c>
      <c r="P1779" s="0" t="n">
        <f aca="false">IF(AND(Comments!B1777='Policy card'!$C$3,Comments!N1777="Closed"),1,0)</f>
        <v>0</v>
      </c>
      <c r="Q1779" s="0" t="n">
        <f aca="false">Q1778+P1779</f>
        <v>7</v>
      </c>
    </row>
    <row r="1780" customFormat="false" ht="15" hidden="false" customHeight="false" outlineLevel="0" collapsed="false">
      <c r="C1780" s="0" t="n">
        <f aca="false">IF(AND(Comments!B1778='Policy card'!$C$3,Comments!N1778="Open"),1,0)</f>
        <v>0</v>
      </c>
      <c r="D1780" s="0" t="str">
        <f aca="false">IF(C1780=1,E1780,IF(P1780=1,$E$2003+Q1780,""))</f>
        <v/>
      </c>
      <c r="E1780" s="0" t="n">
        <f aca="false">E1779+C1780</f>
        <v>0</v>
      </c>
      <c r="P1780" s="0" t="n">
        <f aca="false">IF(AND(Comments!B1778='Policy card'!$C$3,Comments!N1778="Closed"),1,0)</f>
        <v>0</v>
      </c>
      <c r="Q1780" s="0" t="n">
        <f aca="false">Q1779+P1780</f>
        <v>7</v>
      </c>
    </row>
    <row r="1781" customFormat="false" ht="15" hidden="false" customHeight="false" outlineLevel="0" collapsed="false">
      <c r="C1781" s="0" t="n">
        <f aca="false">IF(AND(Comments!B1779='Policy card'!$C$3,Comments!N1779="Open"),1,0)</f>
        <v>0</v>
      </c>
      <c r="D1781" s="0" t="str">
        <f aca="false">IF(C1781=1,E1781,IF(P1781=1,$E$2003+Q1781,""))</f>
        <v/>
      </c>
      <c r="E1781" s="0" t="n">
        <f aca="false">E1780+C1781</f>
        <v>0</v>
      </c>
      <c r="P1781" s="0" t="n">
        <f aca="false">IF(AND(Comments!B1779='Policy card'!$C$3,Comments!N1779="Closed"),1,0)</f>
        <v>0</v>
      </c>
      <c r="Q1781" s="0" t="n">
        <f aca="false">Q1780+P1781</f>
        <v>7</v>
      </c>
    </row>
    <row r="1782" customFormat="false" ht="15" hidden="false" customHeight="false" outlineLevel="0" collapsed="false">
      <c r="C1782" s="0" t="n">
        <f aca="false">IF(AND(Comments!B1780='Policy card'!$C$3,Comments!N1780="Open"),1,0)</f>
        <v>0</v>
      </c>
      <c r="D1782" s="0" t="str">
        <f aca="false">IF(C1782=1,E1782,IF(P1782=1,$E$2003+Q1782,""))</f>
        <v/>
      </c>
      <c r="E1782" s="0" t="n">
        <f aca="false">E1781+C1782</f>
        <v>0</v>
      </c>
      <c r="P1782" s="0" t="n">
        <f aca="false">IF(AND(Comments!B1780='Policy card'!$C$3,Comments!N1780="Closed"),1,0)</f>
        <v>0</v>
      </c>
      <c r="Q1782" s="0" t="n">
        <f aca="false">Q1781+P1782</f>
        <v>7</v>
      </c>
    </row>
    <row r="1783" customFormat="false" ht="15" hidden="false" customHeight="false" outlineLevel="0" collapsed="false">
      <c r="C1783" s="0" t="n">
        <f aca="false">IF(AND(Comments!B1781='Policy card'!$C$3,Comments!N1781="Open"),1,0)</f>
        <v>0</v>
      </c>
      <c r="D1783" s="0" t="str">
        <f aca="false">IF(C1783=1,E1783,IF(P1783=1,$E$2003+Q1783,""))</f>
        <v/>
      </c>
      <c r="E1783" s="0" t="n">
        <f aca="false">E1782+C1783</f>
        <v>0</v>
      </c>
      <c r="P1783" s="0" t="n">
        <f aca="false">IF(AND(Comments!B1781='Policy card'!$C$3,Comments!N1781="Closed"),1,0)</f>
        <v>0</v>
      </c>
      <c r="Q1783" s="0" t="n">
        <f aca="false">Q1782+P1783</f>
        <v>7</v>
      </c>
    </row>
    <row r="1784" customFormat="false" ht="15" hidden="false" customHeight="false" outlineLevel="0" collapsed="false">
      <c r="C1784" s="0" t="n">
        <f aca="false">IF(AND(Comments!B1782='Policy card'!$C$3,Comments!N1782="Open"),1,0)</f>
        <v>0</v>
      </c>
      <c r="D1784" s="0" t="str">
        <f aca="false">IF(C1784=1,E1784,IF(P1784=1,$E$2003+Q1784,""))</f>
        <v/>
      </c>
      <c r="E1784" s="0" t="n">
        <f aca="false">E1783+C1784</f>
        <v>0</v>
      </c>
      <c r="P1784" s="0" t="n">
        <f aca="false">IF(AND(Comments!B1782='Policy card'!$C$3,Comments!N1782="Closed"),1,0)</f>
        <v>0</v>
      </c>
      <c r="Q1784" s="0" t="n">
        <f aca="false">Q1783+P1784</f>
        <v>7</v>
      </c>
    </row>
    <row r="1785" customFormat="false" ht="15" hidden="false" customHeight="false" outlineLevel="0" collapsed="false">
      <c r="C1785" s="0" t="n">
        <f aca="false">IF(AND(Comments!B1783='Policy card'!$C$3,Comments!N1783="Open"),1,0)</f>
        <v>0</v>
      </c>
      <c r="D1785" s="0" t="str">
        <f aca="false">IF(C1785=1,E1785,IF(P1785=1,$E$2003+Q1785,""))</f>
        <v/>
      </c>
      <c r="E1785" s="0" t="n">
        <f aca="false">E1784+C1785</f>
        <v>0</v>
      </c>
      <c r="P1785" s="0" t="n">
        <f aca="false">IF(AND(Comments!B1783='Policy card'!$C$3,Comments!N1783="Closed"),1,0)</f>
        <v>0</v>
      </c>
      <c r="Q1785" s="0" t="n">
        <f aca="false">Q1784+P1785</f>
        <v>7</v>
      </c>
    </row>
    <row r="1786" customFormat="false" ht="15" hidden="false" customHeight="false" outlineLevel="0" collapsed="false">
      <c r="C1786" s="0" t="n">
        <f aca="false">IF(AND(Comments!B1784='Policy card'!$C$3,Comments!N1784="Open"),1,0)</f>
        <v>0</v>
      </c>
      <c r="D1786" s="0" t="str">
        <f aca="false">IF(C1786=1,E1786,IF(P1786=1,$E$2003+Q1786,""))</f>
        <v/>
      </c>
      <c r="E1786" s="0" t="n">
        <f aca="false">E1785+C1786</f>
        <v>0</v>
      </c>
      <c r="P1786" s="0" t="n">
        <f aca="false">IF(AND(Comments!B1784='Policy card'!$C$3,Comments!N1784="Closed"),1,0)</f>
        <v>0</v>
      </c>
      <c r="Q1786" s="0" t="n">
        <f aca="false">Q1785+P1786</f>
        <v>7</v>
      </c>
    </row>
    <row r="1787" customFormat="false" ht="15" hidden="false" customHeight="false" outlineLevel="0" collapsed="false">
      <c r="C1787" s="0" t="n">
        <f aca="false">IF(AND(Comments!B1785='Policy card'!$C$3,Comments!N1785="Open"),1,0)</f>
        <v>0</v>
      </c>
      <c r="D1787" s="0" t="str">
        <f aca="false">IF(C1787=1,E1787,IF(P1787=1,$E$2003+Q1787,""))</f>
        <v/>
      </c>
      <c r="E1787" s="0" t="n">
        <f aca="false">E1786+C1787</f>
        <v>0</v>
      </c>
      <c r="P1787" s="0" t="n">
        <f aca="false">IF(AND(Comments!B1785='Policy card'!$C$3,Comments!N1785="Closed"),1,0)</f>
        <v>0</v>
      </c>
      <c r="Q1787" s="0" t="n">
        <f aca="false">Q1786+P1787</f>
        <v>7</v>
      </c>
    </row>
    <row r="1788" customFormat="false" ht="15" hidden="false" customHeight="false" outlineLevel="0" collapsed="false">
      <c r="C1788" s="0" t="n">
        <f aca="false">IF(AND(Comments!B1786='Policy card'!$C$3,Comments!N1786="Open"),1,0)</f>
        <v>0</v>
      </c>
      <c r="D1788" s="0" t="str">
        <f aca="false">IF(C1788=1,E1788,IF(P1788=1,$E$2003+Q1788,""))</f>
        <v/>
      </c>
      <c r="E1788" s="0" t="n">
        <f aca="false">E1787+C1788</f>
        <v>0</v>
      </c>
      <c r="P1788" s="0" t="n">
        <f aca="false">IF(AND(Comments!B1786='Policy card'!$C$3,Comments!N1786="Closed"),1,0)</f>
        <v>0</v>
      </c>
      <c r="Q1788" s="0" t="n">
        <f aca="false">Q1787+P1788</f>
        <v>7</v>
      </c>
    </row>
    <row r="1789" customFormat="false" ht="15" hidden="false" customHeight="false" outlineLevel="0" collapsed="false">
      <c r="C1789" s="0" t="n">
        <f aca="false">IF(AND(Comments!B1787='Policy card'!$C$3,Comments!N1787="Open"),1,0)</f>
        <v>0</v>
      </c>
      <c r="D1789" s="0" t="str">
        <f aca="false">IF(C1789=1,E1789,IF(P1789=1,$E$2003+Q1789,""))</f>
        <v/>
      </c>
      <c r="E1789" s="0" t="n">
        <f aca="false">E1788+C1789</f>
        <v>0</v>
      </c>
      <c r="P1789" s="0" t="n">
        <f aca="false">IF(AND(Comments!B1787='Policy card'!$C$3,Comments!N1787="Closed"),1,0)</f>
        <v>0</v>
      </c>
      <c r="Q1789" s="0" t="n">
        <f aca="false">Q1788+P1789</f>
        <v>7</v>
      </c>
    </row>
    <row r="1790" customFormat="false" ht="15" hidden="false" customHeight="false" outlineLevel="0" collapsed="false">
      <c r="C1790" s="0" t="n">
        <f aca="false">IF(AND(Comments!B1788='Policy card'!$C$3,Comments!N1788="Open"),1,0)</f>
        <v>0</v>
      </c>
      <c r="D1790" s="0" t="str">
        <f aca="false">IF(C1790=1,E1790,IF(P1790=1,$E$2003+Q1790,""))</f>
        <v/>
      </c>
      <c r="E1790" s="0" t="n">
        <f aca="false">E1789+C1790</f>
        <v>0</v>
      </c>
      <c r="P1790" s="0" t="n">
        <f aca="false">IF(AND(Comments!B1788='Policy card'!$C$3,Comments!N1788="Closed"),1,0)</f>
        <v>0</v>
      </c>
      <c r="Q1790" s="0" t="n">
        <f aca="false">Q1789+P1790</f>
        <v>7</v>
      </c>
    </row>
    <row r="1791" customFormat="false" ht="15" hidden="false" customHeight="false" outlineLevel="0" collapsed="false">
      <c r="C1791" s="0" t="n">
        <f aca="false">IF(AND(Comments!B1789='Policy card'!$C$3,Comments!N1789="Open"),1,0)</f>
        <v>0</v>
      </c>
      <c r="D1791" s="0" t="str">
        <f aca="false">IF(C1791=1,E1791,IF(P1791=1,$E$2003+Q1791,""))</f>
        <v/>
      </c>
      <c r="E1791" s="0" t="n">
        <f aca="false">E1790+C1791</f>
        <v>0</v>
      </c>
      <c r="P1791" s="0" t="n">
        <f aca="false">IF(AND(Comments!B1789='Policy card'!$C$3,Comments!N1789="Closed"),1,0)</f>
        <v>0</v>
      </c>
      <c r="Q1791" s="0" t="n">
        <f aca="false">Q1790+P1791</f>
        <v>7</v>
      </c>
    </row>
    <row r="1792" customFormat="false" ht="15" hidden="false" customHeight="false" outlineLevel="0" collapsed="false">
      <c r="C1792" s="0" t="n">
        <f aca="false">IF(AND(Comments!B1790='Policy card'!$C$3,Comments!N1790="Open"),1,0)</f>
        <v>0</v>
      </c>
      <c r="D1792" s="0" t="str">
        <f aca="false">IF(C1792=1,E1792,IF(P1792=1,$E$2003+Q1792,""))</f>
        <v/>
      </c>
      <c r="E1792" s="0" t="n">
        <f aca="false">E1791+C1792</f>
        <v>0</v>
      </c>
      <c r="P1792" s="0" t="n">
        <f aca="false">IF(AND(Comments!B1790='Policy card'!$C$3,Comments!N1790="Closed"),1,0)</f>
        <v>0</v>
      </c>
      <c r="Q1792" s="0" t="n">
        <f aca="false">Q1791+P1792</f>
        <v>7</v>
      </c>
    </row>
    <row r="1793" customFormat="false" ht="15" hidden="false" customHeight="false" outlineLevel="0" collapsed="false">
      <c r="C1793" s="0" t="n">
        <f aca="false">IF(AND(Comments!B1791='Policy card'!$C$3,Comments!N1791="Open"),1,0)</f>
        <v>0</v>
      </c>
      <c r="D1793" s="0" t="str">
        <f aca="false">IF(C1793=1,E1793,IF(P1793=1,$E$2003+Q1793,""))</f>
        <v/>
      </c>
      <c r="E1793" s="0" t="n">
        <f aca="false">E1792+C1793</f>
        <v>0</v>
      </c>
      <c r="P1793" s="0" t="n">
        <f aca="false">IF(AND(Comments!B1791='Policy card'!$C$3,Comments!N1791="Closed"),1,0)</f>
        <v>0</v>
      </c>
      <c r="Q1793" s="0" t="n">
        <f aca="false">Q1792+P1793</f>
        <v>7</v>
      </c>
    </row>
    <row r="1794" customFormat="false" ht="15" hidden="false" customHeight="false" outlineLevel="0" collapsed="false">
      <c r="C1794" s="0" t="n">
        <f aca="false">IF(AND(Comments!B1792='Policy card'!$C$3,Comments!N1792="Open"),1,0)</f>
        <v>0</v>
      </c>
      <c r="D1794" s="0" t="str">
        <f aca="false">IF(C1794=1,E1794,IF(P1794=1,$E$2003+Q1794,""))</f>
        <v/>
      </c>
      <c r="E1794" s="0" t="n">
        <f aca="false">E1793+C1794</f>
        <v>0</v>
      </c>
      <c r="P1794" s="0" t="n">
        <f aca="false">IF(AND(Comments!B1792='Policy card'!$C$3,Comments!N1792="Closed"),1,0)</f>
        <v>0</v>
      </c>
      <c r="Q1794" s="0" t="n">
        <f aca="false">Q1793+P1794</f>
        <v>7</v>
      </c>
    </row>
    <row r="1795" customFormat="false" ht="15" hidden="false" customHeight="false" outlineLevel="0" collapsed="false">
      <c r="C1795" s="0" t="n">
        <f aca="false">IF(AND(Comments!B1793='Policy card'!$C$3,Comments!N1793="Open"),1,0)</f>
        <v>0</v>
      </c>
      <c r="D1795" s="0" t="str">
        <f aca="false">IF(C1795=1,E1795,IF(P1795=1,$E$2003+Q1795,""))</f>
        <v/>
      </c>
      <c r="E1795" s="0" t="n">
        <f aca="false">E1794+C1795</f>
        <v>0</v>
      </c>
      <c r="P1795" s="0" t="n">
        <f aca="false">IF(AND(Comments!B1793='Policy card'!$C$3,Comments!N1793="Closed"),1,0)</f>
        <v>0</v>
      </c>
      <c r="Q1795" s="0" t="n">
        <f aca="false">Q1794+P1795</f>
        <v>7</v>
      </c>
    </row>
    <row r="1796" customFormat="false" ht="15" hidden="false" customHeight="false" outlineLevel="0" collapsed="false">
      <c r="C1796" s="0" t="n">
        <f aca="false">IF(AND(Comments!B1794='Policy card'!$C$3,Comments!N1794="Open"),1,0)</f>
        <v>0</v>
      </c>
      <c r="D1796" s="0" t="str">
        <f aca="false">IF(C1796=1,E1796,IF(P1796=1,$E$2003+Q1796,""))</f>
        <v/>
      </c>
      <c r="E1796" s="0" t="n">
        <f aca="false">E1795+C1796</f>
        <v>0</v>
      </c>
      <c r="P1796" s="0" t="n">
        <f aca="false">IF(AND(Comments!B1794='Policy card'!$C$3,Comments!N1794="Closed"),1,0)</f>
        <v>0</v>
      </c>
      <c r="Q1796" s="0" t="n">
        <f aca="false">Q1795+P1796</f>
        <v>7</v>
      </c>
    </row>
    <row r="1797" customFormat="false" ht="15" hidden="false" customHeight="false" outlineLevel="0" collapsed="false">
      <c r="C1797" s="0" t="n">
        <f aca="false">IF(AND(Comments!B1795='Policy card'!$C$3,Comments!N1795="Open"),1,0)</f>
        <v>0</v>
      </c>
      <c r="D1797" s="0" t="str">
        <f aca="false">IF(C1797=1,E1797,IF(P1797=1,$E$2003+Q1797,""))</f>
        <v/>
      </c>
      <c r="E1797" s="0" t="n">
        <f aca="false">E1796+C1797</f>
        <v>0</v>
      </c>
      <c r="P1797" s="0" t="n">
        <f aca="false">IF(AND(Comments!B1795='Policy card'!$C$3,Comments!N1795="Closed"),1,0)</f>
        <v>0</v>
      </c>
      <c r="Q1797" s="0" t="n">
        <f aca="false">Q1796+P1797</f>
        <v>7</v>
      </c>
    </row>
    <row r="1798" customFormat="false" ht="15" hidden="false" customHeight="false" outlineLevel="0" collapsed="false">
      <c r="C1798" s="0" t="n">
        <f aca="false">IF(AND(Comments!B1796='Policy card'!$C$3,Comments!N1796="Open"),1,0)</f>
        <v>0</v>
      </c>
      <c r="D1798" s="0" t="str">
        <f aca="false">IF(C1798=1,E1798,IF(P1798=1,$E$2003+Q1798,""))</f>
        <v/>
      </c>
      <c r="E1798" s="0" t="n">
        <f aca="false">E1797+C1798</f>
        <v>0</v>
      </c>
      <c r="P1798" s="0" t="n">
        <f aca="false">IF(AND(Comments!B1796='Policy card'!$C$3,Comments!N1796="Closed"),1,0)</f>
        <v>0</v>
      </c>
      <c r="Q1798" s="0" t="n">
        <f aca="false">Q1797+P1798</f>
        <v>7</v>
      </c>
    </row>
    <row r="1799" customFormat="false" ht="15" hidden="false" customHeight="false" outlineLevel="0" collapsed="false">
      <c r="C1799" s="0" t="n">
        <f aca="false">IF(AND(Comments!B1797='Policy card'!$C$3,Comments!N1797="Open"),1,0)</f>
        <v>0</v>
      </c>
      <c r="D1799" s="0" t="str">
        <f aca="false">IF(C1799=1,E1799,IF(P1799=1,$E$2003+Q1799,""))</f>
        <v/>
      </c>
      <c r="E1799" s="0" t="n">
        <f aca="false">E1798+C1799</f>
        <v>0</v>
      </c>
      <c r="P1799" s="0" t="n">
        <f aca="false">IF(AND(Comments!B1797='Policy card'!$C$3,Comments!N1797="Closed"),1,0)</f>
        <v>0</v>
      </c>
      <c r="Q1799" s="0" t="n">
        <f aca="false">Q1798+P1799</f>
        <v>7</v>
      </c>
    </row>
    <row r="1800" customFormat="false" ht="15" hidden="false" customHeight="false" outlineLevel="0" collapsed="false">
      <c r="C1800" s="0" t="n">
        <f aca="false">IF(AND(Comments!B1798='Policy card'!$C$3,Comments!N1798="Open"),1,0)</f>
        <v>0</v>
      </c>
      <c r="D1800" s="0" t="str">
        <f aca="false">IF(C1800=1,E1800,IF(P1800=1,$E$2003+Q1800,""))</f>
        <v/>
      </c>
      <c r="E1800" s="0" t="n">
        <f aca="false">E1799+C1800</f>
        <v>0</v>
      </c>
      <c r="P1800" s="0" t="n">
        <f aca="false">IF(AND(Comments!B1798='Policy card'!$C$3,Comments!N1798="Closed"),1,0)</f>
        <v>0</v>
      </c>
      <c r="Q1800" s="0" t="n">
        <f aca="false">Q1799+P1800</f>
        <v>7</v>
      </c>
    </row>
    <row r="1801" customFormat="false" ht="15" hidden="false" customHeight="false" outlineLevel="0" collapsed="false">
      <c r="C1801" s="0" t="n">
        <f aca="false">IF(AND(Comments!B1799='Policy card'!$C$3,Comments!N1799="Open"),1,0)</f>
        <v>0</v>
      </c>
      <c r="D1801" s="0" t="str">
        <f aca="false">IF(C1801=1,E1801,IF(P1801=1,$E$2003+Q1801,""))</f>
        <v/>
      </c>
      <c r="E1801" s="0" t="n">
        <f aca="false">E1800+C1801</f>
        <v>0</v>
      </c>
      <c r="P1801" s="0" t="n">
        <f aca="false">IF(AND(Comments!B1799='Policy card'!$C$3,Comments!N1799="Closed"),1,0)</f>
        <v>0</v>
      </c>
      <c r="Q1801" s="0" t="n">
        <f aca="false">Q1800+P1801</f>
        <v>7</v>
      </c>
    </row>
    <row r="1802" customFormat="false" ht="15" hidden="false" customHeight="false" outlineLevel="0" collapsed="false">
      <c r="C1802" s="0" t="n">
        <f aca="false">IF(AND(Comments!B1800='Policy card'!$C$3,Comments!N1800="Open"),1,0)</f>
        <v>0</v>
      </c>
      <c r="D1802" s="0" t="str">
        <f aca="false">IF(C1802=1,E1802,IF(P1802=1,$E$2003+Q1802,""))</f>
        <v/>
      </c>
      <c r="E1802" s="0" t="n">
        <f aca="false">E1801+C1802</f>
        <v>0</v>
      </c>
      <c r="P1802" s="0" t="n">
        <f aca="false">IF(AND(Comments!B1800='Policy card'!$C$3,Comments!N1800="Closed"),1,0)</f>
        <v>0</v>
      </c>
      <c r="Q1802" s="0" t="n">
        <f aca="false">Q1801+P1802</f>
        <v>7</v>
      </c>
    </row>
    <row r="1803" customFormat="false" ht="15" hidden="false" customHeight="false" outlineLevel="0" collapsed="false">
      <c r="C1803" s="0" t="n">
        <f aca="false">IF(AND(Comments!B1801='Policy card'!$C$3,Comments!N1801="Open"),1,0)</f>
        <v>0</v>
      </c>
      <c r="D1803" s="0" t="str">
        <f aca="false">IF(C1803=1,E1803,IF(P1803=1,$E$2003+Q1803,""))</f>
        <v/>
      </c>
      <c r="E1803" s="0" t="n">
        <f aca="false">E1802+C1803</f>
        <v>0</v>
      </c>
      <c r="P1803" s="0" t="n">
        <f aca="false">IF(AND(Comments!B1801='Policy card'!$C$3,Comments!N1801="Closed"),1,0)</f>
        <v>0</v>
      </c>
      <c r="Q1803" s="0" t="n">
        <f aca="false">Q1802+P1803</f>
        <v>7</v>
      </c>
    </row>
    <row r="1804" customFormat="false" ht="15" hidden="false" customHeight="false" outlineLevel="0" collapsed="false">
      <c r="C1804" s="0" t="n">
        <f aca="false">IF(AND(Comments!B1802='Policy card'!$C$3,Comments!N1802="Open"),1,0)</f>
        <v>0</v>
      </c>
      <c r="D1804" s="0" t="str">
        <f aca="false">IF(C1804=1,E1804,IF(P1804=1,$E$2003+Q1804,""))</f>
        <v/>
      </c>
      <c r="E1804" s="0" t="n">
        <f aca="false">E1803+C1804</f>
        <v>0</v>
      </c>
      <c r="P1804" s="0" t="n">
        <f aca="false">IF(AND(Comments!B1802='Policy card'!$C$3,Comments!N1802="Closed"),1,0)</f>
        <v>0</v>
      </c>
      <c r="Q1804" s="0" t="n">
        <f aca="false">Q1803+P1804</f>
        <v>7</v>
      </c>
    </row>
    <row r="1805" customFormat="false" ht="15" hidden="false" customHeight="false" outlineLevel="0" collapsed="false">
      <c r="C1805" s="0" t="n">
        <f aca="false">IF(AND(Comments!B1803='Policy card'!$C$3,Comments!N1803="Open"),1,0)</f>
        <v>0</v>
      </c>
      <c r="D1805" s="0" t="str">
        <f aca="false">IF(C1805=1,E1805,IF(P1805=1,$E$2003+Q1805,""))</f>
        <v/>
      </c>
      <c r="E1805" s="0" t="n">
        <f aca="false">E1804+C1805</f>
        <v>0</v>
      </c>
      <c r="P1805" s="0" t="n">
        <f aca="false">IF(AND(Comments!B1803='Policy card'!$C$3,Comments!N1803="Closed"),1,0)</f>
        <v>0</v>
      </c>
      <c r="Q1805" s="0" t="n">
        <f aca="false">Q1804+P1805</f>
        <v>7</v>
      </c>
    </row>
    <row r="1806" customFormat="false" ht="15" hidden="false" customHeight="false" outlineLevel="0" collapsed="false">
      <c r="C1806" s="0" t="n">
        <f aca="false">IF(AND(Comments!B1804='Policy card'!$C$3,Comments!N1804="Open"),1,0)</f>
        <v>0</v>
      </c>
      <c r="D1806" s="0" t="str">
        <f aca="false">IF(C1806=1,E1806,IF(P1806=1,$E$2003+Q1806,""))</f>
        <v/>
      </c>
      <c r="E1806" s="0" t="n">
        <f aca="false">E1805+C1806</f>
        <v>0</v>
      </c>
      <c r="P1806" s="0" t="n">
        <f aca="false">IF(AND(Comments!B1804='Policy card'!$C$3,Comments!N1804="Closed"),1,0)</f>
        <v>0</v>
      </c>
      <c r="Q1806" s="0" t="n">
        <f aca="false">Q1805+P1806</f>
        <v>7</v>
      </c>
    </row>
    <row r="1807" customFormat="false" ht="15" hidden="false" customHeight="false" outlineLevel="0" collapsed="false">
      <c r="C1807" s="0" t="n">
        <f aca="false">IF(AND(Comments!B1805='Policy card'!$C$3,Comments!N1805="Open"),1,0)</f>
        <v>0</v>
      </c>
      <c r="D1807" s="0" t="str">
        <f aca="false">IF(C1807=1,E1807,IF(P1807=1,$E$2003+Q1807,""))</f>
        <v/>
      </c>
      <c r="E1807" s="0" t="n">
        <f aca="false">E1806+C1807</f>
        <v>0</v>
      </c>
      <c r="P1807" s="0" t="n">
        <f aca="false">IF(AND(Comments!B1805='Policy card'!$C$3,Comments!N1805="Closed"),1,0)</f>
        <v>0</v>
      </c>
      <c r="Q1807" s="0" t="n">
        <f aca="false">Q1806+P1807</f>
        <v>7</v>
      </c>
    </row>
    <row r="1808" customFormat="false" ht="15" hidden="false" customHeight="false" outlineLevel="0" collapsed="false">
      <c r="C1808" s="0" t="n">
        <f aca="false">IF(AND(Comments!B1806='Policy card'!$C$3,Comments!N1806="Open"),1,0)</f>
        <v>0</v>
      </c>
      <c r="D1808" s="0" t="str">
        <f aca="false">IF(C1808=1,E1808,IF(P1808=1,$E$2003+Q1808,""))</f>
        <v/>
      </c>
      <c r="E1808" s="0" t="n">
        <f aca="false">E1807+C1808</f>
        <v>0</v>
      </c>
      <c r="P1808" s="0" t="n">
        <f aca="false">IF(AND(Comments!B1806='Policy card'!$C$3,Comments!N1806="Closed"),1,0)</f>
        <v>0</v>
      </c>
      <c r="Q1808" s="0" t="n">
        <f aca="false">Q1807+P1808</f>
        <v>7</v>
      </c>
    </row>
    <row r="1809" customFormat="false" ht="15" hidden="false" customHeight="false" outlineLevel="0" collapsed="false">
      <c r="C1809" s="0" t="n">
        <f aca="false">IF(AND(Comments!B1807='Policy card'!$C$3,Comments!N1807="Open"),1,0)</f>
        <v>0</v>
      </c>
      <c r="D1809" s="0" t="str">
        <f aca="false">IF(C1809=1,E1809,IF(P1809=1,$E$2003+Q1809,""))</f>
        <v/>
      </c>
      <c r="E1809" s="0" t="n">
        <f aca="false">E1808+C1809</f>
        <v>0</v>
      </c>
      <c r="P1809" s="0" t="n">
        <f aca="false">IF(AND(Comments!B1807='Policy card'!$C$3,Comments!N1807="Closed"),1,0)</f>
        <v>0</v>
      </c>
      <c r="Q1809" s="0" t="n">
        <f aca="false">Q1808+P1809</f>
        <v>7</v>
      </c>
    </row>
    <row r="1810" customFormat="false" ht="15" hidden="false" customHeight="false" outlineLevel="0" collapsed="false">
      <c r="C1810" s="0" t="n">
        <f aca="false">IF(AND(Comments!B1808='Policy card'!$C$3,Comments!N1808="Open"),1,0)</f>
        <v>0</v>
      </c>
      <c r="D1810" s="0" t="str">
        <f aca="false">IF(C1810=1,E1810,IF(P1810=1,$E$2003+Q1810,""))</f>
        <v/>
      </c>
      <c r="E1810" s="0" t="n">
        <f aca="false">E1809+C1810</f>
        <v>0</v>
      </c>
      <c r="P1810" s="0" t="n">
        <f aca="false">IF(AND(Comments!B1808='Policy card'!$C$3,Comments!N1808="Closed"),1,0)</f>
        <v>0</v>
      </c>
      <c r="Q1810" s="0" t="n">
        <f aca="false">Q1809+P1810</f>
        <v>7</v>
      </c>
    </row>
    <row r="1811" customFormat="false" ht="15" hidden="false" customHeight="false" outlineLevel="0" collapsed="false">
      <c r="C1811" s="0" t="n">
        <f aca="false">IF(AND(Comments!B1809='Policy card'!$C$3,Comments!N1809="Open"),1,0)</f>
        <v>0</v>
      </c>
      <c r="D1811" s="0" t="str">
        <f aca="false">IF(C1811=1,E1811,IF(P1811=1,$E$2003+Q1811,""))</f>
        <v/>
      </c>
      <c r="E1811" s="0" t="n">
        <f aca="false">E1810+C1811</f>
        <v>0</v>
      </c>
      <c r="P1811" s="0" t="n">
        <f aca="false">IF(AND(Comments!B1809='Policy card'!$C$3,Comments!N1809="Closed"),1,0)</f>
        <v>0</v>
      </c>
      <c r="Q1811" s="0" t="n">
        <f aca="false">Q1810+P1811</f>
        <v>7</v>
      </c>
    </row>
    <row r="1812" customFormat="false" ht="15" hidden="false" customHeight="false" outlineLevel="0" collapsed="false">
      <c r="C1812" s="0" t="n">
        <f aca="false">IF(AND(Comments!B1810='Policy card'!$C$3,Comments!N1810="Open"),1,0)</f>
        <v>0</v>
      </c>
      <c r="D1812" s="0" t="str">
        <f aca="false">IF(C1812=1,E1812,IF(P1812=1,$E$2003+Q1812,""))</f>
        <v/>
      </c>
      <c r="E1812" s="0" t="n">
        <f aca="false">E1811+C1812</f>
        <v>0</v>
      </c>
      <c r="P1812" s="0" t="n">
        <f aca="false">IF(AND(Comments!B1810='Policy card'!$C$3,Comments!N1810="Closed"),1,0)</f>
        <v>0</v>
      </c>
      <c r="Q1812" s="0" t="n">
        <f aca="false">Q1811+P1812</f>
        <v>7</v>
      </c>
    </row>
    <row r="1813" customFormat="false" ht="15" hidden="false" customHeight="false" outlineLevel="0" collapsed="false">
      <c r="C1813" s="0" t="n">
        <f aca="false">IF(AND(Comments!B1811='Policy card'!$C$3,Comments!N1811="Open"),1,0)</f>
        <v>0</v>
      </c>
      <c r="D1813" s="0" t="str">
        <f aca="false">IF(C1813=1,E1813,IF(P1813=1,$E$2003+Q1813,""))</f>
        <v/>
      </c>
      <c r="E1813" s="0" t="n">
        <f aca="false">E1812+C1813</f>
        <v>0</v>
      </c>
      <c r="P1813" s="0" t="n">
        <f aca="false">IF(AND(Comments!B1811='Policy card'!$C$3,Comments!N1811="Closed"),1,0)</f>
        <v>0</v>
      </c>
      <c r="Q1813" s="0" t="n">
        <f aca="false">Q1812+P1813</f>
        <v>7</v>
      </c>
    </row>
    <row r="1814" customFormat="false" ht="15" hidden="false" customHeight="false" outlineLevel="0" collapsed="false">
      <c r="C1814" s="0" t="n">
        <f aca="false">IF(AND(Comments!B1812='Policy card'!$C$3,Comments!N1812="Open"),1,0)</f>
        <v>0</v>
      </c>
      <c r="D1814" s="0" t="str">
        <f aca="false">IF(C1814=1,E1814,IF(P1814=1,$E$2003+Q1814,""))</f>
        <v/>
      </c>
      <c r="E1814" s="0" t="n">
        <f aca="false">E1813+C1814</f>
        <v>0</v>
      </c>
      <c r="P1814" s="0" t="n">
        <f aca="false">IF(AND(Comments!B1812='Policy card'!$C$3,Comments!N1812="Closed"),1,0)</f>
        <v>0</v>
      </c>
      <c r="Q1814" s="0" t="n">
        <f aca="false">Q1813+P1814</f>
        <v>7</v>
      </c>
    </row>
    <row r="1815" customFormat="false" ht="15" hidden="false" customHeight="false" outlineLevel="0" collapsed="false">
      <c r="C1815" s="0" t="n">
        <f aca="false">IF(AND(Comments!B1813='Policy card'!$C$3,Comments!N1813="Open"),1,0)</f>
        <v>0</v>
      </c>
      <c r="D1815" s="0" t="str">
        <f aca="false">IF(C1815=1,E1815,IF(P1815=1,$E$2003+Q1815,""))</f>
        <v/>
      </c>
      <c r="E1815" s="0" t="n">
        <f aca="false">E1814+C1815</f>
        <v>0</v>
      </c>
      <c r="P1815" s="0" t="n">
        <f aca="false">IF(AND(Comments!B1813='Policy card'!$C$3,Comments!N1813="Closed"),1,0)</f>
        <v>0</v>
      </c>
      <c r="Q1815" s="0" t="n">
        <f aca="false">Q1814+P1815</f>
        <v>7</v>
      </c>
    </row>
    <row r="1816" customFormat="false" ht="15" hidden="false" customHeight="false" outlineLevel="0" collapsed="false">
      <c r="C1816" s="0" t="n">
        <f aca="false">IF(AND(Comments!B1814='Policy card'!$C$3,Comments!N1814="Open"),1,0)</f>
        <v>0</v>
      </c>
      <c r="D1816" s="0" t="str">
        <f aca="false">IF(C1816=1,E1816,IF(P1816=1,$E$2003+Q1816,""))</f>
        <v/>
      </c>
      <c r="E1816" s="0" t="n">
        <f aca="false">E1815+C1816</f>
        <v>0</v>
      </c>
      <c r="P1816" s="0" t="n">
        <f aca="false">IF(AND(Comments!B1814='Policy card'!$C$3,Comments!N1814="Closed"),1,0)</f>
        <v>0</v>
      </c>
      <c r="Q1816" s="0" t="n">
        <f aca="false">Q1815+P1816</f>
        <v>7</v>
      </c>
    </row>
    <row r="1817" customFormat="false" ht="15" hidden="false" customHeight="false" outlineLevel="0" collapsed="false">
      <c r="C1817" s="0" t="n">
        <f aca="false">IF(AND(Comments!B1815='Policy card'!$C$3,Comments!N1815="Open"),1,0)</f>
        <v>0</v>
      </c>
      <c r="D1817" s="0" t="str">
        <f aca="false">IF(C1817=1,E1817,IF(P1817=1,$E$2003+Q1817,""))</f>
        <v/>
      </c>
      <c r="E1817" s="0" t="n">
        <f aca="false">E1816+C1817</f>
        <v>0</v>
      </c>
      <c r="P1817" s="0" t="n">
        <f aca="false">IF(AND(Comments!B1815='Policy card'!$C$3,Comments!N1815="Closed"),1,0)</f>
        <v>0</v>
      </c>
      <c r="Q1817" s="0" t="n">
        <f aca="false">Q1816+P1817</f>
        <v>7</v>
      </c>
    </row>
    <row r="1818" customFormat="false" ht="15" hidden="false" customHeight="false" outlineLevel="0" collapsed="false">
      <c r="C1818" s="0" t="n">
        <f aca="false">IF(AND(Comments!B1816='Policy card'!$C$3,Comments!N1816="Open"),1,0)</f>
        <v>0</v>
      </c>
      <c r="D1818" s="0" t="str">
        <f aca="false">IF(C1818=1,E1818,IF(P1818=1,$E$2003+Q1818,""))</f>
        <v/>
      </c>
      <c r="E1818" s="0" t="n">
        <f aca="false">E1817+C1818</f>
        <v>0</v>
      </c>
      <c r="P1818" s="0" t="n">
        <f aca="false">IF(AND(Comments!B1816='Policy card'!$C$3,Comments!N1816="Closed"),1,0)</f>
        <v>0</v>
      </c>
      <c r="Q1818" s="0" t="n">
        <f aca="false">Q1817+P1818</f>
        <v>7</v>
      </c>
    </row>
    <row r="1819" customFormat="false" ht="15" hidden="false" customHeight="false" outlineLevel="0" collapsed="false">
      <c r="C1819" s="0" t="n">
        <f aca="false">IF(AND(Comments!B1817='Policy card'!$C$3,Comments!N1817="Open"),1,0)</f>
        <v>0</v>
      </c>
      <c r="D1819" s="0" t="str">
        <f aca="false">IF(C1819=1,E1819,IF(P1819=1,$E$2003+Q1819,""))</f>
        <v/>
      </c>
      <c r="E1819" s="0" t="n">
        <f aca="false">E1818+C1819</f>
        <v>0</v>
      </c>
      <c r="P1819" s="0" t="n">
        <f aca="false">IF(AND(Comments!B1817='Policy card'!$C$3,Comments!N1817="Closed"),1,0)</f>
        <v>0</v>
      </c>
      <c r="Q1819" s="0" t="n">
        <f aca="false">Q1818+P1819</f>
        <v>7</v>
      </c>
    </row>
    <row r="1820" customFormat="false" ht="15" hidden="false" customHeight="false" outlineLevel="0" collapsed="false">
      <c r="C1820" s="0" t="n">
        <f aca="false">IF(AND(Comments!B1818='Policy card'!$C$3,Comments!N1818="Open"),1,0)</f>
        <v>0</v>
      </c>
      <c r="D1820" s="0" t="str">
        <f aca="false">IF(C1820=1,E1820,IF(P1820=1,$E$2003+Q1820,""))</f>
        <v/>
      </c>
      <c r="E1820" s="0" t="n">
        <f aca="false">E1819+C1820</f>
        <v>0</v>
      </c>
      <c r="P1820" s="0" t="n">
        <f aca="false">IF(AND(Comments!B1818='Policy card'!$C$3,Comments!N1818="Closed"),1,0)</f>
        <v>0</v>
      </c>
      <c r="Q1820" s="0" t="n">
        <f aca="false">Q1819+P1820</f>
        <v>7</v>
      </c>
    </row>
    <row r="1821" customFormat="false" ht="15" hidden="false" customHeight="false" outlineLevel="0" collapsed="false">
      <c r="C1821" s="0" t="n">
        <f aca="false">IF(AND(Comments!B1819='Policy card'!$C$3,Comments!N1819="Open"),1,0)</f>
        <v>0</v>
      </c>
      <c r="D1821" s="0" t="str">
        <f aca="false">IF(C1821=1,E1821,IF(P1821=1,$E$2003+Q1821,""))</f>
        <v/>
      </c>
      <c r="E1821" s="0" t="n">
        <f aca="false">E1820+C1821</f>
        <v>0</v>
      </c>
      <c r="P1821" s="0" t="n">
        <f aca="false">IF(AND(Comments!B1819='Policy card'!$C$3,Comments!N1819="Closed"),1,0)</f>
        <v>0</v>
      </c>
      <c r="Q1821" s="0" t="n">
        <f aca="false">Q1820+P1821</f>
        <v>7</v>
      </c>
    </row>
    <row r="1822" customFormat="false" ht="15" hidden="false" customHeight="false" outlineLevel="0" collapsed="false">
      <c r="C1822" s="0" t="n">
        <f aca="false">IF(AND(Comments!B1820='Policy card'!$C$3,Comments!N1820="Open"),1,0)</f>
        <v>0</v>
      </c>
      <c r="D1822" s="0" t="str">
        <f aca="false">IF(C1822=1,E1822,IF(P1822=1,$E$2003+Q1822,""))</f>
        <v/>
      </c>
      <c r="E1822" s="0" t="n">
        <f aca="false">E1821+C1822</f>
        <v>0</v>
      </c>
      <c r="P1822" s="0" t="n">
        <f aca="false">IF(AND(Comments!B1820='Policy card'!$C$3,Comments!N1820="Closed"),1,0)</f>
        <v>0</v>
      </c>
      <c r="Q1822" s="0" t="n">
        <f aca="false">Q1821+P1822</f>
        <v>7</v>
      </c>
    </row>
    <row r="1823" customFormat="false" ht="15" hidden="false" customHeight="false" outlineLevel="0" collapsed="false">
      <c r="C1823" s="0" t="n">
        <f aca="false">IF(AND(Comments!B1821='Policy card'!$C$3,Comments!N1821="Open"),1,0)</f>
        <v>0</v>
      </c>
      <c r="D1823" s="0" t="str">
        <f aca="false">IF(C1823=1,E1823,IF(P1823=1,$E$2003+Q1823,""))</f>
        <v/>
      </c>
      <c r="E1823" s="0" t="n">
        <f aca="false">E1822+C1823</f>
        <v>0</v>
      </c>
      <c r="P1823" s="0" t="n">
        <f aca="false">IF(AND(Comments!B1821='Policy card'!$C$3,Comments!N1821="Closed"),1,0)</f>
        <v>0</v>
      </c>
      <c r="Q1823" s="0" t="n">
        <f aca="false">Q1822+P1823</f>
        <v>7</v>
      </c>
    </row>
    <row r="1824" customFormat="false" ht="15" hidden="false" customHeight="false" outlineLevel="0" collapsed="false">
      <c r="C1824" s="0" t="n">
        <f aca="false">IF(AND(Comments!B1822='Policy card'!$C$3,Comments!N1822="Open"),1,0)</f>
        <v>0</v>
      </c>
      <c r="D1824" s="0" t="str">
        <f aca="false">IF(C1824=1,E1824,IF(P1824=1,$E$2003+Q1824,""))</f>
        <v/>
      </c>
      <c r="E1824" s="0" t="n">
        <f aca="false">E1823+C1824</f>
        <v>0</v>
      </c>
      <c r="P1824" s="0" t="n">
        <f aca="false">IF(AND(Comments!B1822='Policy card'!$C$3,Comments!N1822="Closed"),1,0)</f>
        <v>0</v>
      </c>
      <c r="Q1824" s="0" t="n">
        <f aca="false">Q1823+P1824</f>
        <v>7</v>
      </c>
    </row>
    <row r="1825" customFormat="false" ht="15" hidden="false" customHeight="false" outlineLevel="0" collapsed="false">
      <c r="C1825" s="0" t="n">
        <f aca="false">IF(AND(Comments!B1823='Policy card'!$C$3,Comments!N1823="Open"),1,0)</f>
        <v>0</v>
      </c>
      <c r="D1825" s="0" t="str">
        <f aca="false">IF(C1825=1,E1825,IF(P1825=1,$E$2003+Q1825,""))</f>
        <v/>
      </c>
      <c r="E1825" s="0" t="n">
        <f aca="false">E1824+C1825</f>
        <v>0</v>
      </c>
      <c r="P1825" s="0" t="n">
        <f aca="false">IF(AND(Comments!B1823='Policy card'!$C$3,Comments!N1823="Closed"),1,0)</f>
        <v>0</v>
      </c>
      <c r="Q1825" s="0" t="n">
        <f aca="false">Q1824+P1825</f>
        <v>7</v>
      </c>
    </row>
    <row r="1826" customFormat="false" ht="15" hidden="false" customHeight="false" outlineLevel="0" collapsed="false">
      <c r="C1826" s="0" t="n">
        <f aca="false">IF(AND(Comments!B1824='Policy card'!$C$3,Comments!N1824="Open"),1,0)</f>
        <v>0</v>
      </c>
      <c r="D1826" s="0" t="str">
        <f aca="false">IF(C1826=1,E1826,IF(P1826=1,$E$2003+Q1826,""))</f>
        <v/>
      </c>
      <c r="E1826" s="0" t="n">
        <f aca="false">E1825+C1826</f>
        <v>0</v>
      </c>
      <c r="P1826" s="0" t="n">
        <f aca="false">IF(AND(Comments!B1824='Policy card'!$C$3,Comments!N1824="Closed"),1,0)</f>
        <v>0</v>
      </c>
      <c r="Q1826" s="0" t="n">
        <f aca="false">Q1825+P1826</f>
        <v>7</v>
      </c>
    </row>
    <row r="1827" customFormat="false" ht="15" hidden="false" customHeight="false" outlineLevel="0" collapsed="false">
      <c r="C1827" s="0" t="n">
        <f aca="false">IF(AND(Comments!B1825='Policy card'!$C$3,Comments!N1825="Open"),1,0)</f>
        <v>0</v>
      </c>
      <c r="D1827" s="0" t="str">
        <f aca="false">IF(C1827=1,E1827,IF(P1827=1,$E$2003+Q1827,""))</f>
        <v/>
      </c>
      <c r="E1827" s="0" t="n">
        <f aca="false">E1826+C1827</f>
        <v>0</v>
      </c>
      <c r="P1827" s="0" t="n">
        <f aca="false">IF(AND(Comments!B1825='Policy card'!$C$3,Comments!N1825="Closed"),1,0)</f>
        <v>0</v>
      </c>
      <c r="Q1827" s="0" t="n">
        <f aca="false">Q1826+P1827</f>
        <v>7</v>
      </c>
    </row>
    <row r="1828" customFormat="false" ht="15" hidden="false" customHeight="false" outlineLevel="0" collapsed="false">
      <c r="C1828" s="0" t="n">
        <f aca="false">IF(AND(Comments!B1826='Policy card'!$C$3,Comments!N1826="Open"),1,0)</f>
        <v>0</v>
      </c>
      <c r="D1828" s="0" t="str">
        <f aca="false">IF(C1828=1,E1828,IF(P1828=1,$E$2003+Q1828,""))</f>
        <v/>
      </c>
      <c r="E1828" s="0" t="n">
        <f aca="false">E1827+C1828</f>
        <v>0</v>
      </c>
      <c r="P1828" s="0" t="n">
        <f aca="false">IF(AND(Comments!B1826='Policy card'!$C$3,Comments!N1826="Closed"),1,0)</f>
        <v>0</v>
      </c>
      <c r="Q1828" s="0" t="n">
        <f aca="false">Q1827+P1828</f>
        <v>7</v>
      </c>
    </row>
    <row r="1829" customFormat="false" ht="15" hidden="false" customHeight="false" outlineLevel="0" collapsed="false">
      <c r="C1829" s="0" t="n">
        <f aca="false">IF(AND(Comments!B1827='Policy card'!$C$3,Comments!N1827="Open"),1,0)</f>
        <v>0</v>
      </c>
      <c r="D1829" s="0" t="str">
        <f aca="false">IF(C1829=1,E1829,IF(P1829=1,$E$2003+Q1829,""))</f>
        <v/>
      </c>
      <c r="E1829" s="0" t="n">
        <f aca="false">E1828+C1829</f>
        <v>0</v>
      </c>
      <c r="P1829" s="0" t="n">
        <f aca="false">IF(AND(Comments!B1827='Policy card'!$C$3,Comments!N1827="Closed"),1,0)</f>
        <v>0</v>
      </c>
      <c r="Q1829" s="0" t="n">
        <f aca="false">Q1828+P1829</f>
        <v>7</v>
      </c>
    </row>
    <row r="1830" customFormat="false" ht="15" hidden="false" customHeight="false" outlineLevel="0" collapsed="false">
      <c r="C1830" s="0" t="n">
        <f aca="false">IF(AND(Comments!B1828='Policy card'!$C$3,Comments!N1828="Open"),1,0)</f>
        <v>0</v>
      </c>
      <c r="D1830" s="0" t="str">
        <f aca="false">IF(C1830=1,E1830,IF(P1830=1,$E$2003+Q1830,""))</f>
        <v/>
      </c>
      <c r="E1830" s="0" t="n">
        <f aca="false">E1829+C1830</f>
        <v>0</v>
      </c>
      <c r="P1830" s="0" t="n">
        <f aca="false">IF(AND(Comments!B1828='Policy card'!$C$3,Comments!N1828="Closed"),1,0)</f>
        <v>0</v>
      </c>
      <c r="Q1830" s="0" t="n">
        <f aca="false">Q1829+P1830</f>
        <v>7</v>
      </c>
    </row>
    <row r="1831" customFormat="false" ht="15" hidden="false" customHeight="false" outlineLevel="0" collapsed="false">
      <c r="C1831" s="0" t="n">
        <f aca="false">IF(AND(Comments!B1829='Policy card'!$C$3,Comments!N1829="Open"),1,0)</f>
        <v>0</v>
      </c>
      <c r="D1831" s="0" t="str">
        <f aca="false">IF(C1831=1,E1831,IF(P1831=1,$E$2003+Q1831,""))</f>
        <v/>
      </c>
      <c r="E1831" s="0" t="n">
        <f aca="false">E1830+C1831</f>
        <v>0</v>
      </c>
      <c r="P1831" s="0" t="n">
        <f aca="false">IF(AND(Comments!B1829='Policy card'!$C$3,Comments!N1829="Closed"),1,0)</f>
        <v>0</v>
      </c>
      <c r="Q1831" s="0" t="n">
        <f aca="false">Q1830+P1831</f>
        <v>7</v>
      </c>
    </row>
    <row r="1832" customFormat="false" ht="15" hidden="false" customHeight="false" outlineLevel="0" collapsed="false">
      <c r="C1832" s="0" t="n">
        <f aca="false">IF(AND(Comments!B1830='Policy card'!$C$3,Comments!N1830="Open"),1,0)</f>
        <v>0</v>
      </c>
      <c r="D1832" s="0" t="str">
        <f aca="false">IF(C1832=1,E1832,IF(P1832=1,$E$2003+Q1832,""))</f>
        <v/>
      </c>
      <c r="E1832" s="0" t="n">
        <f aca="false">E1831+C1832</f>
        <v>0</v>
      </c>
      <c r="P1832" s="0" t="n">
        <f aca="false">IF(AND(Comments!B1830='Policy card'!$C$3,Comments!N1830="Closed"),1,0)</f>
        <v>0</v>
      </c>
      <c r="Q1832" s="0" t="n">
        <f aca="false">Q1831+P1832</f>
        <v>7</v>
      </c>
    </row>
    <row r="1833" customFormat="false" ht="15" hidden="false" customHeight="false" outlineLevel="0" collapsed="false">
      <c r="C1833" s="0" t="n">
        <f aca="false">IF(AND(Comments!B1831='Policy card'!$C$3,Comments!N1831="Open"),1,0)</f>
        <v>0</v>
      </c>
      <c r="D1833" s="0" t="str">
        <f aca="false">IF(C1833=1,E1833,IF(P1833=1,$E$2003+Q1833,""))</f>
        <v/>
      </c>
      <c r="E1833" s="0" t="n">
        <f aca="false">E1832+C1833</f>
        <v>0</v>
      </c>
      <c r="P1833" s="0" t="n">
        <f aca="false">IF(AND(Comments!B1831='Policy card'!$C$3,Comments!N1831="Closed"),1,0)</f>
        <v>0</v>
      </c>
      <c r="Q1833" s="0" t="n">
        <f aca="false">Q1832+P1833</f>
        <v>7</v>
      </c>
    </row>
    <row r="1834" customFormat="false" ht="15" hidden="false" customHeight="false" outlineLevel="0" collapsed="false">
      <c r="C1834" s="0" t="n">
        <f aca="false">IF(AND(Comments!B1832='Policy card'!$C$3,Comments!N1832="Open"),1,0)</f>
        <v>0</v>
      </c>
      <c r="D1834" s="0" t="str">
        <f aca="false">IF(C1834=1,E1834,IF(P1834=1,$E$2003+Q1834,""))</f>
        <v/>
      </c>
      <c r="E1834" s="0" t="n">
        <f aca="false">E1833+C1834</f>
        <v>0</v>
      </c>
      <c r="P1834" s="0" t="n">
        <f aca="false">IF(AND(Comments!B1832='Policy card'!$C$3,Comments!N1832="Closed"),1,0)</f>
        <v>0</v>
      </c>
      <c r="Q1834" s="0" t="n">
        <f aca="false">Q1833+P1834</f>
        <v>7</v>
      </c>
    </row>
    <row r="1835" customFormat="false" ht="15" hidden="false" customHeight="false" outlineLevel="0" collapsed="false">
      <c r="C1835" s="0" t="n">
        <f aca="false">IF(AND(Comments!B1833='Policy card'!$C$3,Comments!N1833="Open"),1,0)</f>
        <v>0</v>
      </c>
      <c r="D1835" s="0" t="str">
        <f aca="false">IF(C1835=1,E1835,IF(P1835=1,$E$2003+Q1835,""))</f>
        <v/>
      </c>
      <c r="E1835" s="0" t="n">
        <f aca="false">E1834+C1835</f>
        <v>0</v>
      </c>
      <c r="P1835" s="0" t="n">
        <f aca="false">IF(AND(Comments!B1833='Policy card'!$C$3,Comments!N1833="Closed"),1,0)</f>
        <v>0</v>
      </c>
      <c r="Q1835" s="0" t="n">
        <f aca="false">Q1834+P1835</f>
        <v>7</v>
      </c>
    </row>
    <row r="1836" customFormat="false" ht="15" hidden="false" customHeight="false" outlineLevel="0" collapsed="false">
      <c r="C1836" s="0" t="n">
        <f aca="false">IF(AND(Comments!B1834='Policy card'!$C$3,Comments!N1834="Open"),1,0)</f>
        <v>0</v>
      </c>
      <c r="D1836" s="0" t="str">
        <f aca="false">IF(C1836=1,E1836,IF(P1836=1,$E$2003+Q1836,""))</f>
        <v/>
      </c>
      <c r="E1836" s="0" t="n">
        <f aca="false">E1835+C1836</f>
        <v>0</v>
      </c>
      <c r="P1836" s="0" t="n">
        <f aca="false">IF(AND(Comments!B1834='Policy card'!$C$3,Comments!N1834="Closed"),1,0)</f>
        <v>0</v>
      </c>
      <c r="Q1836" s="0" t="n">
        <f aca="false">Q1835+P1836</f>
        <v>7</v>
      </c>
    </row>
    <row r="1837" customFormat="false" ht="15" hidden="false" customHeight="false" outlineLevel="0" collapsed="false">
      <c r="C1837" s="0" t="n">
        <f aca="false">IF(AND(Comments!B1835='Policy card'!$C$3,Comments!N1835="Open"),1,0)</f>
        <v>0</v>
      </c>
      <c r="D1837" s="0" t="str">
        <f aca="false">IF(C1837=1,E1837,IF(P1837=1,$E$2003+Q1837,""))</f>
        <v/>
      </c>
      <c r="E1837" s="0" t="n">
        <f aca="false">E1836+C1837</f>
        <v>0</v>
      </c>
      <c r="P1837" s="0" t="n">
        <f aca="false">IF(AND(Comments!B1835='Policy card'!$C$3,Comments!N1835="Closed"),1,0)</f>
        <v>0</v>
      </c>
      <c r="Q1837" s="0" t="n">
        <f aca="false">Q1836+P1837</f>
        <v>7</v>
      </c>
    </row>
    <row r="1838" customFormat="false" ht="15" hidden="false" customHeight="false" outlineLevel="0" collapsed="false">
      <c r="C1838" s="0" t="n">
        <f aca="false">IF(AND(Comments!B1836='Policy card'!$C$3,Comments!N1836="Open"),1,0)</f>
        <v>0</v>
      </c>
      <c r="D1838" s="0" t="str">
        <f aca="false">IF(C1838=1,E1838,IF(P1838=1,$E$2003+Q1838,""))</f>
        <v/>
      </c>
      <c r="E1838" s="0" t="n">
        <f aca="false">E1837+C1838</f>
        <v>0</v>
      </c>
      <c r="P1838" s="0" t="n">
        <f aca="false">IF(AND(Comments!B1836='Policy card'!$C$3,Comments!N1836="Closed"),1,0)</f>
        <v>0</v>
      </c>
      <c r="Q1838" s="0" t="n">
        <f aca="false">Q1837+P1838</f>
        <v>7</v>
      </c>
    </row>
    <row r="1839" customFormat="false" ht="15" hidden="false" customHeight="false" outlineLevel="0" collapsed="false">
      <c r="C1839" s="0" t="n">
        <f aca="false">IF(AND(Comments!B1837='Policy card'!$C$3,Comments!N1837="Open"),1,0)</f>
        <v>0</v>
      </c>
      <c r="D1839" s="0" t="str">
        <f aca="false">IF(C1839=1,E1839,IF(P1839=1,$E$2003+Q1839,""))</f>
        <v/>
      </c>
      <c r="E1839" s="0" t="n">
        <f aca="false">E1838+C1839</f>
        <v>0</v>
      </c>
      <c r="P1839" s="0" t="n">
        <f aca="false">IF(AND(Comments!B1837='Policy card'!$C$3,Comments!N1837="Closed"),1,0)</f>
        <v>0</v>
      </c>
      <c r="Q1839" s="0" t="n">
        <f aca="false">Q1838+P1839</f>
        <v>7</v>
      </c>
    </row>
    <row r="1840" customFormat="false" ht="15" hidden="false" customHeight="false" outlineLevel="0" collapsed="false">
      <c r="C1840" s="0" t="n">
        <f aca="false">IF(AND(Comments!B1838='Policy card'!$C$3,Comments!N1838="Open"),1,0)</f>
        <v>0</v>
      </c>
      <c r="D1840" s="0" t="str">
        <f aca="false">IF(C1840=1,E1840,IF(P1840=1,$E$2003+Q1840,""))</f>
        <v/>
      </c>
      <c r="E1840" s="0" t="n">
        <f aca="false">E1839+C1840</f>
        <v>0</v>
      </c>
      <c r="P1840" s="0" t="n">
        <f aca="false">IF(AND(Comments!B1838='Policy card'!$C$3,Comments!N1838="Closed"),1,0)</f>
        <v>0</v>
      </c>
      <c r="Q1840" s="0" t="n">
        <f aca="false">Q1839+P1840</f>
        <v>7</v>
      </c>
    </row>
    <row r="1841" customFormat="false" ht="15" hidden="false" customHeight="false" outlineLevel="0" collapsed="false">
      <c r="C1841" s="0" t="n">
        <f aca="false">IF(AND(Comments!B1839='Policy card'!$C$3,Comments!N1839="Open"),1,0)</f>
        <v>0</v>
      </c>
      <c r="D1841" s="0" t="str">
        <f aca="false">IF(C1841=1,E1841,IF(P1841=1,$E$2003+Q1841,""))</f>
        <v/>
      </c>
      <c r="E1841" s="0" t="n">
        <f aca="false">E1840+C1841</f>
        <v>0</v>
      </c>
      <c r="P1841" s="0" t="n">
        <f aca="false">IF(AND(Comments!B1839='Policy card'!$C$3,Comments!N1839="Closed"),1,0)</f>
        <v>0</v>
      </c>
      <c r="Q1841" s="0" t="n">
        <f aca="false">Q1840+P1841</f>
        <v>7</v>
      </c>
    </row>
    <row r="1842" customFormat="false" ht="15" hidden="false" customHeight="false" outlineLevel="0" collapsed="false">
      <c r="C1842" s="0" t="n">
        <f aca="false">IF(AND(Comments!B1840='Policy card'!$C$3,Comments!N1840="Open"),1,0)</f>
        <v>0</v>
      </c>
      <c r="D1842" s="0" t="str">
        <f aca="false">IF(C1842=1,E1842,IF(P1842=1,$E$2003+Q1842,""))</f>
        <v/>
      </c>
      <c r="E1842" s="0" t="n">
        <f aca="false">E1841+C1842</f>
        <v>0</v>
      </c>
      <c r="P1842" s="0" t="n">
        <f aca="false">IF(AND(Comments!B1840='Policy card'!$C$3,Comments!N1840="Closed"),1,0)</f>
        <v>0</v>
      </c>
      <c r="Q1842" s="0" t="n">
        <f aca="false">Q1841+P1842</f>
        <v>7</v>
      </c>
    </row>
    <row r="1843" customFormat="false" ht="15" hidden="false" customHeight="false" outlineLevel="0" collapsed="false">
      <c r="C1843" s="0" t="n">
        <f aca="false">IF(AND(Comments!B1841='Policy card'!$C$3,Comments!N1841="Open"),1,0)</f>
        <v>0</v>
      </c>
      <c r="D1843" s="0" t="str">
        <f aca="false">IF(C1843=1,E1843,IF(P1843=1,$E$2003+Q1843,""))</f>
        <v/>
      </c>
      <c r="E1843" s="0" t="n">
        <f aca="false">E1842+C1843</f>
        <v>0</v>
      </c>
      <c r="P1843" s="0" t="n">
        <f aca="false">IF(AND(Comments!B1841='Policy card'!$C$3,Comments!N1841="Closed"),1,0)</f>
        <v>0</v>
      </c>
      <c r="Q1843" s="0" t="n">
        <f aca="false">Q1842+P1843</f>
        <v>7</v>
      </c>
    </row>
    <row r="1844" customFormat="false" ht="15" hidden="false" customHeight="false" outlineLevel="0" collapsed="false">
      <c r="C1844" s="0" t="n">
        <f aca="false">IF(AND(Comments!B1842='Policy card'!$C$3,Comments!N1842="Open"),1,0)</f>
        <v>0</v>
      </c>
      <c r="D1844" s="0" t="str">
        <f aca="false">IF(C1844=1,E1844,IF(P1844=1,$E$2003+Q1844,""))</f>
        <v/>
      </c>
      <c r="E1844" s="0" t="n">
        <f aca="false">E1843+C1844</f>
        <v>0</v>
      </c>
      <c r="P1844" s="0" t="n">
        <f aca="false">IF(AND(Comments!B1842='Policy card'!$C$3,Comments!N1842="Closed"),1,0)</f>
        <v>0</v>
      </c>
      <c r="Q1844" s="0" t="n">
        <f aca="false">Q1843+P1844</f>
        <v>7</v>
      </c>
    </row>
    <row r="1845" customFormat="false" ht="15" hidden="false" customHeight="false" outlineLevel="0" collapsed="false">
      <c r="C1845" s="0" t="n">
        <f aca="false">IF(AND(Comments!B1843='Policy card'!$C$3,Comments!N1843="Open"),1,0)</f>
        <v>0</v>
      </c>
      <c r="D1845" s="0" t="str">
        <f aca="false">IF(C1845=1,E1845,IF(P1845=1,$E$2003+Q1845,""))</f>
        <v/>
      </c>
      <c r="E1845" s="0" t="n">
        <f aca="false">E1844+C1845</f>
        <v>0</v>
      </c>
      <c r="P1845" s="0" t="n">
        <f aca="false">IF(AND(Comments!B1843='Policy card'!$C$3,Comments!N1843="Closed"),1,0)</f>
        <v>0</v>
      </c>
      <c r="Q1845" s="0" t="n">
        <f aca="false">Q1844+P1845</f>
        <v>7</v>
      </c>
    </row>
    <row r="1846" customFormat="false" ht="15" hidden="false" customHeight="false" outlineLevel="0" collapsed="false">
      <c r="C1846" s="0" t="n">
        <f aca="false">IF(AND(Comments!B1844='Policy card'!$C$3,Comments!N1844="Open"),1,0)</f>
        <v>0</v>
      </c>
      <c r="D1846" s="0" t="str">
        <f aca="false">IF(C1846=1,E1846,IF(P1846=1,$E$2003+Q1846,""))</f>
        <v/>
      </c>
      <c r="E1846" s="0" t="n">
        <f aca="false">E1845+C1846</f>
        <v>0</v>
      </c>
      <c r="P1846" s="0" t="n">
        <f aca="false">IF(AND(Comments!B1844='Policy card'!$C$3,Comments!N1844="Closed"),1,0)</f>
        <v>0</v>
      </c>
      <c r="Q1846" s="0" t="n">
        <f aca="false">Q1845+P1846</f>
        <v>7</v>
      </c>
    </row>
    <row r="1847" customFormat="false" ht="15" hidden="false" customHeight="false" outlineLevel="0" collapsed="false">
      <c r="C1847" s="0" t="n">
        <f aca="false">IF(AND(Comments!B1845='Policy card'!$C$3,Comments!N1845="Open"),1,0)</f>
        <v>0</v>
      </c>
      <c r="D1847" s="0" t="str">
        <f aca="false">IF(C1847=1,E1847,IF(P1847=1,$E$2003+Q1847,""))</f>
        <v/>
      </c>
      <c r="E1847" s="0" t="n">
        <f aca="false">E1846+C1847</f>
        <v>0</v>
      </c>
      <c r="P1847" s="0" t="n">
        <f aca="false">IF(AND(Comments!B1845='Policy card'!$C$3,Comments!N1845="Closed"),1,0)</f>
        <v>0</v>
      </c>
      <c r="Q1847" s="0" t="n">
        <f aca="false">Q1846+P1847</f>
        <v>7</v>
      </c>
    </row>
    <row r="1848" customFormat="false" ht="15" hidden="false" customHeight="false" outlineLevel="0" collapsed="false">
      <c r="C1848" s="0" t="n">
        <f aca="false">IF(AND(Comments!B1846='Policy card'!$C$3,Comments!N1846="Open"),1,0)</f>
        <v>0</v>
      </c>
      <c r="D1848" s="0" t="str">
        <f aca="false">IF(C1848=1,E1848,IF(P1848=1,$E$2003+Q1848,""))</f>
        <v/>
      </c>
      <c r="E1848" s="0" t="n">
        <f aca="false">E1847+C1848</f>
        <v>0</v>
      </c>
      <c r="P1848" s="0" t="n">
        <f aca="false">IF(AND(Comments!B1846='Policy card'!$C$3,Comments!N1846="Closed"),1,0)</f>
        <v>0</v>
      </c>
      <c r="Q1848" s="0" t="n">
        <f aca="false">Q1847+P1848</f>
        <v>7</v>
      </c>
    </row>
    <row r="1849" customFormat="false" ht="15" hidden="false" customHeight="false" outlineLevel="0" collapsed="false">
      <c r="C1849" s="0" t="n">
        <f aca="false">IF(AND(Comments!B1847='Policy card'!$C$3,Comments!N1847="Open"),1,0)</f>
        <v>0</v>
      </c>
      <c r="D1849" s="0" t="str">
        <f aca="false">IF(C1849=1,E1849,IF(P1849=1,$E$2003+Q1849,""))</f>
        <v/>
      </c>
      <c r="E1849" s="0" t="n">
        <f aca="false">E1848+C1849</f>
        <v>0</v>
      </c>
      <c r="P1849" s="0" t="n">
        <f aca="false">IF(AND(Comments!B1847='Policy card'!$C$3,Comments!N1847="Closed"),1,0)</f>
        <v>0</v>
      </c>
      <c r="Q1849" s="0" t="n">
        <f aca="false">Q1848+P1849</f>
        <v>7</v>
      </c>
    </row>
    <row r="1850" customFormat="false" ht="15" hidden="false" customHeight="false" outlineLevel="0" collapsed="false">
      <c r="C1850" s="0" t="n">
        <f aca="false">IF(AND(Comments!B1848='Policy card'!$C$3,Comments!N1848="Open"),1,0)</f>
        <v>0</v>
      </c>
      <c r="D1850" s="0" t="str">
        <f aca="false">IF(C1850=1,E1850,IF(P1850=1,$E$2003+Q1850,""))</f>
        <v/>
      </c>
      <c r="E1850" s="0" t="n">
        <f aca="false">E1849+C1850</f>
        <v>0</v>
      </c>
      <c r="P1850" s="0" t="n">
        <f aca="false">IF(AND(Comments!B1848='Policy card'!$C$3,Comments!N1848="Closed"),1,0)</f>
        <v>0</v>
      </c>
      <c r="Q1850" s="0" t="n">
        <f aca="false">Q1849+P1850</f>
        <v>7</v>
      </c>
    </row>
    <row r="1851" customFormat="false" ht="15" hidden="false" customHeight="false" outlineLevel="0" collapsed="false">
      <c r="C1851" s="0" t="n">
        <f aca="false">IF(AND(Comments!B1849='Policy card'!$C$3,Comments!N1849="Open"),1,0)</f>
        <v>0</v>
      </c>
      <c r="D1851" s="0" t="str">
        <f aca="false">IF(C1851=1,E1851,IF(P1851=1,$E$2003+Q1851,""))</f>
        <v/>
      </c>
      <c r="E1851" s="0" t="n">
        <f aca="false">E1850+C1851</f>
        <v>0</v>
      </c>
      <c r="P1851" s="0" t="n">
        <f aca="false">IF(AND(Comments!B1849='Policy card'!$C$3,Comments!N1849="Closed"),1,0)</f>
        <v>0</v>
      </c>
      <c r="Q1851" s="0" t="n">
        <f aca="false">Q1850+P1851</f>
        <v>7</v>
      </c>
    </row>
    <row r="1852" customFormat="false" ht="15" hidden="false" customHeight="false" outlineLevel="0" collapsed="false">
      <c r="C1852" s="0" t="n">
        <f aca="false">IF(AND(Comments!B1850='Policy card'!$C$3,Comments!N1850="Open"),1,0)</f>
        <v>0</v>
      </c>
      <c r="D1852" s="0" t="str">
        <f aca="false">IF(C1852=1,E1852,IF(P1852=1,$E$2003+Q1852,""))</f>
        <v/>
      </c>
      <c r="E1852" s="0" t="n">
        <f aca="false">E1851+C1852</f>
        <v>0</v>
      </c>
      <c r="P1852" s="0" t="n">
        <f aca="false">IF(AND(Comments!B1850='Policy card'!$C$3,Comments!N1850="Closed"),1,0)</f>
        <v>0</v>
      </c>
      <c r="Q1852" s="0" t="n">
        <f aca="false">Q1851+P1852</f>
        <v>7</v>
      </c>
    </row>
    <row r="1853" customFormat="false" ht="15" hidden="false" customHeight="false" outlineLevel="0" collapsed="false">
      <c r="C1853" s="0" t="n">
        <f aca="false">IF(AND(Comments!B1851='Policy card'!$C$3,Comments!N1851="Open"),1,0)</f>
        <v>0</v>
      </c>
      <c r="D1853" s="0" t="str">
        <f aca="false">IF(C1853=1,E1853,IF(P1853=1,$E$2003+Q1853,""))</f>
        <v/>
      </c>
      <c r="E1853" s="0" t="n">
        <f aca="false">E1852+C1853</f>
        <v>0</v>
      </c>
      <c r="P1853" s="0" t="n">
        <f aca="false">IF(AND(Comments!B1851='Policy card'!$C$3,Comments!N1851="Closed"),1,0)</f>
        <v>0</v>
      </c>
      <c r="Q1853" s="0" t="n">
        <f aca="false">Q1852+P1853</f>
        <v>7</v>
      </c>
    </row>
    <row r="1854" customFormat="false" ht="15" hidden="false" customHeight="false" outlineLevel="0" collapsed="false">
      <c r="C1854" s="0" t="n">
        <f aca="false">IF(AND(Comments!B1852='Policy card'!$C$3,Comments!N1852="Open"),1,0)</f>
        <v>0</v>
      </c>
      <c r="D1854" s="0" t="str">
        <f aca="false">IF(C1854=1,E1854,IF(P1854=1,$E$2003+Q1854,""))</f>
        <v/>
      </c>
      <c r="E1854" s="0" t="n">
        <f aca="false">E1853+C1854</f>
        <v>0</v>
      </c>
      <c r="P1854" s="0" t="n">
        <f aca="false">IF(AND(Comments!B1852='Policy card'!$C$3,Comments!N1852="Closed"),1,0)</f>
        <v>0</v>
      </c>
      <c r="Q1854" s="0" t="n">
        <f aca="false">Q1853+P1854</f>
        <v>7</v>
      </c>
    </row>
    <row r="1855" customFormat="false" ht="15" hidden="false" customHeight="false" outlineLevel="0" collapsed="false">
      <c r="C1855" s="0" t="n">
        <f aca="false">IF(AND(Comments!B1853='Policy card'!$C$3,Comments!N1853="Open"),1,0)</f>
        <v>0</v>
      </c>
      <c r="D1855" s="0" t="str">
        <f aca="false">IF(C1855=1,E1855,IF(P1855=1,$E$2003+Q1855,""))</f>
        <v/>
      </c>
      <c r="E1855" s="0" t="n">
        <f aca="false">E1854+C1855</f>
        <v>0</v>
      </c>
      <c r="P1855" s="0" t="n">
        <f aca="false">IF(AND(Comments!B1853='Policy card'!$C$3,Comments!N1853="Closed"),1,0)</f>
        <v>0</v>
      </c>
      <c r="Q1855" s="0" t="n">
        <f aca="false">Q1854+P1855</f>
        <v>7</v>
      </c>
    </row>
    <row r="1856" customFormat="false" ht="15" hidden="false" customHeight="false" outlineLevel="0" collapsed="false">
      <c r="C1856" s="0" t="n">
        <f aca="false">IF(AND(Comments!B1854='Policy card'!$C$3,Comments!N1854="Open"),1,0)</f>
        <v>0</v>
      </c>
      <c r="D1856" s="0" t="str">
        <f aca="false">IF(C1856=1,E1856,IF(P1856=1,$E$2003+Q1856,""))</f>
        <v/>
      </c>
      <c r="E1856" s="0" t="n">
        <f aca="false">E1855+C1856</f>
        <v>0</v>
      </c>
      <c r="P1856" s="0" t="n">
        <f aca="false">IF(AND(Comments!B1854='Policy card'!$C$3,Comments!N1854="Closed"),1,0)</f>
        <v>0</v>
      </c>
      <c r="Q1856" s="0" t="n">
        <f aca="false">Q1855+P1856</f>
        <v>7</v>
      </c>
    </row>
    <row r="1857" customFormat="false" ht="15" hidden="false" customHeight="false" outlineLevel="0" collapsed="false">
      <c r="C1857" s="0" t="n">
        <f aca="false">IF(AND(Comments!B1855='Policy card'!$C$3,Comments!N1855="Open"),1,0)</f>
        <v>0</v>
      </c>
      <c r="D1857" s="0" t="str">
        <f aca="false">IF(C1857=1,E1857,IF(P1857=1,$E$2003+Q1857,""))</f>
        <v/>
      </c>
      <c r="E1857" s="0" t="n">
        <f aca="false">E1856+C1857</f>
        <v>0</v>
      </c>
      <c r="P1857" s="0" t="n">
        <f aca="false">IF(AND(Comments!B1855='Policy card'!$C$3,Comments!N1855="Closed"),1,0)</f>
        <v>0</v>
      </c>
      <c r="Q1857" s="0" t="n">
        <f aca="false">Q1856+P1857</f>
        <v>7</v>
      </c>
    </row>
    <row r="1858" customFormat="false" ht="15" hidden="false" customHeight="false" outlineLevel="0" collapsed="false">
      <c r="C1858" s="0" t="n">
        <f aca="false">IF(AND(Comments!B1856='Policy card'!$C$3,Comments!N1856="Open"),1,0)</f>
        <v>0</v>
      </c>
      <c r="D1858" s="0" t="str">
        <f aca="false">IF(C1858=1,E1858,IF(P1858=1,$E$2003+Q1858,""))</f>
        <v/>
      </c>
      <c r="E1858" s="0" t="n">
        <f aca="false">E1857+C1858</f>
        <v>0</v>
      </c>
      <c r="P1858" s="0" t="n">
        <f aca="false">IF(AND(Comments!B1856='Policy card'!$C$3,Comments!N1856="Closed"),1,0)</f>
        <v>0</v>
      </c>
      <c r="Q1858" s="0" t="n">
        <f aca="false">Q1857+P1858</f>
        <v>7</v>
      </c>
    </row>
    <row r="1859" customFormat="false" ht="15" hidden="false" customHeight="false" outlineLevel="0" collapsed="false">
      <c r="C1859" s="0" t="n">
        <f aca="false">IF(AND(Comments!B1857='Policy card'!$C$3,Comments!N1857="Open"),1,0)</f>
        <v>0</v>
      </c>
      <c r="D1859" s="0" t="str">
        <f aca="false">IF(C1859=1,E1859,IF(P1859=1,$E$2003+Q1859,""))</f>
        <v/>
      </c>
      <c r="E1859" s="0" t="n">
        <f aca="false">E1858+C1859</f>
        <v>0</v>
      </c>
      <c r="P1859" s="0" t="n">
        <f aca="false">IF(AND(Comments!B1857='Policy card'!$C$3,Comments!N1857="Closed"),1,0)</f>
        <v>0</v>
      </c>
      <c r="Q1859" s="0" t="n">
        <f aca="false">Q1858+P1859</f>
        <v>7</v>
      </c>
    </row>
    <row r="1860" customFormat="false" ht="15" hidden="false" customHeight="false" outlineLevel="0" collapsed="false">
      <c r="C1860" s="0" t="n">
        <f aca="false">IF(AND(Comments!B1858='Policy card'!$C$3,Comments!N1858="Open"),1,0)</f>
        <v>0</v>
      </c>
      <c r="D1860" s="0" t="str">
        <f aca="false">IF(C1860=1,E1860,IF(P1860=1,$E$2003+Q1860,""))</f>
        <v/>
      </c>
      <c r="E1860" s="0" t="n">
        <f aca="false">E1859+C1860</f>
        <v>0</v>
      </c>
      <c r="P1860" s="0" t="n">
        <f aca="false">IF(AND(Comments!B1858='Policy card'!$C$3,Comments!N1858="Closed"),1,0)</f>
        <v>0</v>
      </c>
      <c r="Q1860" s="0" t="n">
        <f aca="false">Q1859+P1860</f>
        <v>7</v>
      </c>
    </row>
    <row r="1861" customFormat="false" ht="15" hidden="false" customHeight="false" outlineLevel="0" collapsed="false">
      <c r="C1861" s="0" t="n">
        <f aca="false">IF(AND(Comments!B1859='Policy card'!$C$3,Comments!N1859="Open"),1,0)</f>
        <v>0</v>
      </c>
      <c r="D1861" s="0" t="str">
        <f aca="false">IF(C1861=1,E1861,IF(P1861=1,$E$2003+Q1861,""))</f>
        <v/>
      </c>
      <c r="E1861" s="0" t="n">
        <f aca="false">E1860+C1861</f>
        <v>0</v>
      </c>
      <c r="P1861" s="0" t="n">
        <f aca="false">IF(AND(Comments!B1859='Policy card'!$C$3,Comments!N1859="Closed"),1,0)</f>
        <v>0</v>
      </c>
      <c r="Q1861" s="0" t="n">
        <f aca="false">Q1860+P1861</f>
        <v>7</v>
      </c>
    </row>
    <row r="1862" customFormat="false" ht="15" hidden="false" customHeight="false" outlineLevel="0" collapsed="false">
      <c r="C1862" s="0" t="n">
        <f aca="false">IF(AND(Comments!B1860='Policy card'!$C$3,Comments!N1860="Open"),1,0)</f>
        <v>0</v>
      </c>
      <c r="D1862" s="0" t="str">
        <f aca="false">IF(C1862=1,E1862,IF(P1862=1,$E$2003+Q1862,""))</f>
        <v/>
      </c>
      <c r="E1862" s="0" t="n">
        <f aca="false">E1861+C1862</f>
        <v>0</v>
      </c>
      <c r="P1862" s="0" t="n">
        <f aca="false">IF(AND(Comments!B1860='Policy card'!$C$3,Comments!N1860="Closed"),1,0)</f>
        <v>0</v>
      </c>
      <c r="Q1862" s="0" t="n">
        <f aca="false">Q1861+P1862</f>
        <v>7</v>
      </c>
    </row>
    <row r="1863" customFormat="false" ht="15" hidden="false" customHeight="false" outlineLevel="0" collapsed="false">
      <c r="C1863" s="0" t="n">
        <f aca="false">IF(AND(Comments!B1861='Policy card'!$C$3,Comments!N1861="Open"),1,0)</f>
        <v>0</v>
      </c>
      <c r="D1863" s="0" t="str">
        <f aca="false">IF(C1863=1,E1863,IF(P1863=1,$E$2003+Q1863,""))</f>
        <v/>
      </c>
      <c r="E1863" s="0" t="n">
        <f aca="false">E1862+C1863</f>
        <v>0</v>
      </c>
      <c r="P1863" s="0" t="n">
        <f aca="false">IF(AND(Comments!B1861='Policy card'!$C$3,Comments!N1861="Closed"),1,0)</f>
        <v>0</v>
      </c>
      <c r="Q1863" s="0" t="n">
        <f aca="false">Q1862+P1863</f>
        <v>7</v>
      </c>
    </row>
    <row r="1864" customFormat="false" ht="15" hidden="false" customHeight="false" outlineLevel="0" collapsed="false">
      <c r="C1864" s="0" t="n">
        <f aca="false">IF(AND(Comments!B1862='Policy card'!$C$3,Comments!N1862="Open"),1,0)</f>
        <v>0</v>
      </c>
      <c r="D1864" s="0" t="str">
        <f aca="false">IF(C1864=1,E1864,IF(P1864=1,$E$2003+Q1864,""))</f>
        <v/>
      </c>
      <c r="E1864" s="0" t="n">
        <f aca="false">E1863+C1864</f>
        <v>0</v>
      </c>
      <c r="P1864" s="0" t="n">
        <f aca="false">IF(AND(Comments!B1862='Policy card'!$C$3,Comments!N1862="Closed"),1,0)</f>
        <v>0</v>
      </c>
      <c r="Q1864" s="0" t="n">
        <f aca="false">Q1863+P1864</f>
        <v>7</v>
      </c>
    </row>
    <row r="1865" customFormat="false" ht="15" hidden="false" customHeight="false" outlineLevel="0" collapsed="false">
      <c r="C1865" s="0" t="n">
        <f aca="false">IF(AND(Comments!B1863='Policy card'!$C$3,Comments!N1863="Open"),1,0)</f>
        <v>0</v>
      </c>
      <c r="D1865" s="0" t="str">
        <f aca="false">IF(C1865=1,E1865,IF(P1865=1,$E$2003+Q1865,""))</f>
        <v/>
      </c>
      <c r="E1865" s="0" t="n">
        <f aca="false">E1864+C1865</f>
        <v>0</v>
      </c>
      <c r="P1865" s="0" t="n">
        <f aca="false">IF(AND(Comments!B1863='Policy card'!$C$3,Comments!N1863="Closed"),1,0)</f>
        <v>0</v>
      </c>
      <c r="Q1865" s="0" t="n">
        <f aca="false">Q1864+P1865</f>
        <v>7</v>
      </c>
    </row>
    <row r="1866" customFormat="false" ht="15" hidden="false" customHeight="false" outlineLevel="0" collapsed="false">
      <c r="C1866" s="0" t="n">
        <f aca="false">IF(AND(Comments!B1864='Policy card'!$C$3,Comments!N1864="Open"),1,0)</f>
        <v>0</v>
      </c>
      <c r="D1866" s="0" t="str">
        <f aca="false">IF(C1866=1,E1866,IF(P1866=1,$E$2003+Q1866,""))</f>
        <v/>
      </c>
      <c r="E1866" s="0" t="n">
        <f aca="false">E1865+C1866</f>
        <v>0</v>
      </c>
      <c r="P1866" s="0" t="n">
        <f aca="false">IF(AND(Comments!B1864='Policy card'!$C$3,Comments!N1864="Closed"),1,0)</f>
        <v>0</v>
      </c>
      <c r="Q1866" s="0" t="n">
        <f aca="false">Q1865+P1866</f>
        <v>7</v>
      </c>
    </row>
    <row r="1867" customFormat="false" ht="15" hidden="false" customHeight="false" outlineLevel="0" collapsed="false">
      <c r="C1867" s="0" t="n">
        <f aca="false">IF(AND(Comments!B1865='Policy card'!$C$3,Comments!N1865="Open"),1,0)</f>
        <v>0</v>
      </c>
      <c r="D1867" s="0" t="str">
        <f aca="false">IF(C1867=1,E1867,IF(P1867=1,$E$2003+Q1867,""))</f>
        <v/>
      </c>
      <c r="E1867" s="0" t="n">
        <f aca="false">E1866+C1867</f>
        <v>0</v>
      </c>
      <c r="P1867" s="0" t="n">
        <f aca="false">IF(AND(Comments!B1865='Policy card'!$C$3,Comments!N1865="Closed"),1,0)</f>
        <v>0</v>
      </c>
      <c r="Q1867" s="0" t="n">
        <f aca="false">Q1866+P1867</f>
        <v>7</v>
      </c>
    </row>
    <row r="1868" customFormat="false" ht="15" hidden="false" customHeight="false" outlineLevel="0" collapsed="false">
      <c r="C1868" s="0" t="n">
        <f aca="false">IF(AND(Comments!B1866='Policy card'!$C$3,Comments!N1866="Open"),1,0)</f>
        <v>0</v>
      </c>
      <c r="D1868" s="0" t="str">
        <f aca="false">IF(C1868=1,E1868,IF(P1868=1,$E$2003+Q1868,""))</f>
        <v/>
      </c>
      <c r="E1868" s="0" t="n">
        <f aca="false">E1867+C1868</f>
        <v>0</v>
      </c>
      <c r="P1868" s="0" t="n">
        <f aca="false">IF(AND(Comments!B1866='Policy card'!$C$3,Comments!N1866="Closed"),1,0)</f>
        <v>0</v>
      </c>
      <c r="Q1868" s="0" t="n">
        <f aca="false">Q1867+P1868</f>
        <v>7</v>
      </c>
    </row>
    <row r="1869" customFormat="false" ht="15" hidden="false" customHeight="false" outlineLevel="0" collapsed="false">
      <c r="C1869" s="0" t="n">
        <f aca="false">IF(AND(Comments!B1867='Policy card'!$C$3,Comments!N1867="Open"),1,0)</f>
        <v>0</v>
      </c>
      <c r="D1869" s="0" t="str">
        <f aca="false">IF(C1869=1,E1869,IF(P1869=1,$E$2003+Q1869,""))</f>
        <v/>
      </c>
      <c r="E1869" s="0" t="n">
        <f aca="false">E1868+C1869</f>
        <v>0</v>
      </c>
      <c r="P1869" s="0" t="n">
        <f aca="false">IF(AND(Comments!B1867='Policy card'!$C$3,Comments!N1867="Closed"),1,0)</f>
        <v>0</v>
      </c>
      <c r="Q1869" s="0" t="n">
        <f aca="false">Q1868+P1869</f>
        <v>7</v>
      </c>
    </row>
    <row r="1870" customFormat="false" ht="15" hidden="false" customHeight="false" outlineLevel="0" collapsed="false">
      <c r="C1870" s="0" t="n">
        <f aca="false">IF(AND(Comments!B1868='Policy card'!$C$3,Comments!N1868="Open"),1,0)</f>
        <v>0</v>
      </c>
      <c r="D1870" s="0" t="str">
        <f aca="false">IF(C1870=1,E1870,IF(P1870=1,$E$2003+Q1870,""))</f>
        <v/>
      </c>
      <c r="E1870" s="0" t="n">
        <f aca="false">E1869+C1870</f>
        <v>0</v>
      </c>
      <c r="P1870" s="0" t="n">
        <f aca="false">IF(AND(Comments!B1868='Policy card'!$C$3,Comments!N1868="Closed"),1,0)</f>
        <v>0</v>
      </c>
      <c r="Q1870" s="0" t="n">
        <f aca="false">Q1869+P1870</f>
        <v>7</v>
      </c>
    </row>
    <row r="1871" customFormat="false" ht="15" hidden="false" customHeight="false" outlineLevel="0" collapsed="false">
      <c r="C1871" s="0" t="n">
        <f aca="false">IF(AND(Comments!B1869='Policy card'!$C$3,Comments!N1869="Open"),1,0)</f>
        <v>0</v>
      </c>
      <c r="D1871" s="0" t="str">
        <f aca="false">IF(C1871=1,E1871,IF(P1871=1,$E$2003+Q1871,""))</f>
        <v/>
      </c>
      <c r="E1871" s="0" t="n">
        <f aca="false">E1870+C1871</f>
        <v>0</v>
      </c>
      <c r="P1871" s="0" t="n">
        <f aca="false">IF(AND(Comments!B1869='Policy card'!$C$3,Comments!N1869="Closed"),1,0)</f>
        <v>0</v>
      </c>
      <c r="Q1871" s="0" t="n">
        <f aca="false">Q1870+P1871</f>
        <v>7</v>
      </c>
    </row>
    <row r="1872" customFormat="false" ht="15" hidden="false" customHeight="false" outlineLevel="0" collapsed="false">
      <c r="C1872" s="0" t="n">
        <f aca="false">IF(AND(Comments!B1870='Policy card'!$C$3,Comments!N1870="Open"),1,0)</f>
        <v>0</v>
      </c>
      <c r="D1872" s="0" t="str">
        <f aca="false">IF(C1872=1,E1872,IF(P1872=1,$E$2003+Q1872,""))</f>
        <v/>
      </c>
      <c r="E1872" s="0" t="n">
        <f aca="false">E1871+C1872</f>
        <v>0</v>
      </c>
      <c r="P1872" s="0" t="n">
        <f aca="false">IF(AND(Comments!B1870='Policy card'!$C$3,Comments!N1870="Closed"),1,0)</f>
        <v>0</v>
      </c>
      <c r="Q1872" s="0" t="n">
        <f aca="false">Q1871+P1872</f>
        <v>7</v>
      </c>
    </row>
    <row r="1873" customFormat="false" ht="15" hidden="false" customHeight="false" outlineLevel="0" collapsed="false">
      <c r="C1873" s="0" t="n">
        <f aca="false">IF(AND(Comments!B1871='Policy card'!$C$3,Comments!N1871="Open"),1,0)</f>
        <v>0</v>
      </c>
      <c r="D1873" s="0" t="str">
        <f aca="false">IF(C1873=1,E1873,IF(P1873=1,$E$2003+Q1873,""))</f>
        <v/>
      </c>
      <c r="E1873" s="0" t="n">
        <f aca="false">E1872+C1873</f>
        <v>0</v>
      </c>
      <c r="P1873" s="0" t="n">
        <f aca="false">IF(AND(Comments!B1871='Policy card'!$C$3,Comments!N1871="Closed"),1,0)</f>
        <v>0</v>
      </c>
      <c r="Q1873" s="0" t="n">
        <f aca="false">Q1872+P1873</f>
        <v>7</v>
      </c>
    </row>
    <row r="1874" customFormat="false" ht="15" hidden="false" customHeight="false" outlineLevel="0" collapsed="false">
      <c r="C1874" s="0" t="n">
        <f aca="false">IF(AND(Comments!B1872='Policy card'!$C$3,Comments!N1872="Open"),1,0)</f>
        <v>0</v>
      </c>
      <c r="D1874" s="0" t="str">
        <f aca="false">IF(C1874=1,E1874,IF(P1874=1,$E$2003+Q1874,""))</f>
        <v/>
      </c>
      <c r="E1874" s="0" t="n">
        <f aca="false">E1873+C1874</f>
        <v>0</v>
      </c>
      <c r="P1874" s="0" t="n">
        <f aca="false">IF(AND(Comments!B1872='Policy card'!$C$3,Comments!N1872="Closed"),1,0)</f>
        <v>0</v>
      </c>
      <c r="Q1874" s="0" t="n">
        <f aca="false">Q1873+P1874</f>
        <v>7</v>
      </c>
    </row>
    <row r="1875" customFormat="false" ht="15" hidden="false" customHeight="false" outlineLevel="0" collapsed="false">
      <c r="C1875" s="0" t="n">
        <f aca="false">IF(AND(Comments!B1873='Policy card'!$C$3,Comments!N1873="Open"),1,0)</f>
        <v>0</v>
      </c>
      <c r="D1875" s="0" t="str">
        <f aca="false">IF(C1875=1,E1875,IF(P1875=1,$E$2003+Q1875,""))</f>
        <v/>
      </c>
      <c r="E1875" s="0" t="n">
        <f aca="false">E1874+C1875</f>
        <v>0</v>
      </c>
      <c r="P1875" s="0" t="n">
        <f aca="false">IF(AND(Comments!B1873='Policy card'!$C$3,Comments!N1873="Closed"),1,0)</f>
        <v>0</v>
      </c>
      <c r="Q1875" s="0" t="n">
        <f aca="false">Q1874+P1875</f>
        <v>7</v>
      </c>
    </row>
    <row r="1876" customFormat="false" ht="15" hidden="false" customHeight="false" outlineLevel="0" collapsed="false">
      <c r="C1876" s="0" t="n">
        <f aca="false">IF(AND(Comments!B1874='Policy card'!$C$3,Comments!N1874="Open"),1,0)</f>
        <v>0</v>
      </c>
      <c r="D1876" s="0" t="str">
        <f aca="false">IF(C1876=1,E1876,IF(P1876=1,$E$2003+Q1876,""))</f>
        <v/>
      </c>
      <c r="E1876" s="0" t="n">
        <f aca="false">E1875+C1876</f>
        <v>0</v>
      </c>
      <c r="P1876" s="0" t="n">
        <f aca="false">IF(AND(Comments!B1874='Policy card'!$C$3,Comments!N1874="Closed"),1,0)</f>
        <v>0</v>
      </c>
      <c r="Q1876" s="0" t="n">
        <f aca="false">Q1875+P1876</f>
        <v>7</v>
      </c>
    </row>
    <row r="1877" customFormat="false" ht="15" hidden="false" customHeight="false" outlineLevel="0" collapsed="false">
      <c r="C1877" s="0" t="n">
        <f aca="false">IF(AND(Comments!B1875='Policy card'!$C$3,Comments!N1875="Open"),1,0)</f>
        <v>0</v>
      </c>
      <c r="D1877" s="0" t="str">
        <f aca="false">IF(C1877=1,E1877,IF(P1877=1,$E$2003+Q1877,""))</f>
        <v/>
      </c>
      <c r="E1877" s="0" t="n">
        <f aca="false">E1876+C1877</f>
        <v>0</v>
      </c>
      <c r="P1877" s="0" t="n">
        <f aca="false">IF(AND(Comments!B1875='Policy card'!$C$3,Comments!N1875="Closed"),1,0)</f>
        <v>0</v>
      </c>
      <c r="Q1877" s="0" t="n">
        <f aca="false">Q1876+P1877</f>
        <v>7</v>
      </c>
    </row>
    <row r="1878" customFormat="false" ht="15" hidden="false" customHeight="false" outlineLevel="0" collapsed="false">
      <c r="C1878" s="0" t="n">
        <f aca="false">IF(AND(Comments!B1876='Policy card'!$C$3,Comments!N1876="Open"),1,0)</f>
        <v>0</v>
      </c>
      <c r="D1878" s="0" t="str">
        <f aca="false">IF(C1878=1,E1878,IF(P1878=1,$E$2003+Q1878,""))</f>
        <v/>
      </c>
      <c r="E1878" s="0" t="n">
        <f aca="false">E1877+C1878</f>
        <v>0</v>
      </c>
      <c r="P1878" s="0" t="n">
        <f aca="false">IF(AND(Comments!B1876='Policy card'!$C$3,Comments!N1876="Closed"),1,0)</f>
        <v>0</v>
      </c>
      <c r="Q1878" s="0" t="n">
        <f aca="false">Q1877+P1878</f>
        <v>7</v>
      </c>
    </row>
    <row r="1879" customFormat="false" ht="15" hidden="false" customHeight="false" outlineLevel="0" collapsed="false">
      <c r="C1879" s="0" t="n">
        <f aca="false">IF(AND(Comments!B1877='Policy card'!$C$3,Comments!N1877="Open"),1,0)</f>
        <v>0</v>
      </c>
      <c r="D1879" s="0" t="str">
        <f aca="false">IF(C1879=1,E1879,IF(P1879=1,$E$2003+Q1879,""))</f>
        <v/>
      </c>
      <c r="E1879" s="0" t="n">
        <f aca="false">E1878+C1879</f>
        <v>0</v>
      </c>
      <c r="P1879" s="0" t="n">
        <f aca="false">IF(AND(Comments!B1877='Policy card'!$C$3,Comments!N1877="Closed"),1,0)</f>
        <v>0</v>
      </c>
      <c r="Q1879" s="0" t="n">
        <f aca="false">Q1878+P1879</f>
        <v>7</v>
      </c>
    </row>
    <row r="1880" customFormat="false" ht="15" hidden="false" customHeight="false" outlineLevel="0" collapsed="false">
      <c r="C1880" s="0" t="n">
        <f aca="false">IF(AND(Comments!B1878='Policy card'!$C$3,Comments!N1878="Open"),1,0)</f>
        <v>0</v>
      </c>
      <c r="D1880" s="0" t="str">
        <f aca="false">IF(C1880=1,E1880,IF(P1880=1,$E$2003+Q1880,""))</f>
        <v/>
      </c>
      <c r="E1880" s="0" t="n">
        <f aca="false">E1879+C1880</f>
        <v>0</v>
      </c>
      <c r="P1880" s="0" t="n">
        <f aca="false">IF(AND(Comments!B1878='Policy card'!$C$3,Comments!N1878="Closed"),1,0)</f>
        <v>0</v>
      </c>
      <c r="Q1880" s="0" t="n">
        <f aca="false">Q1879+P1880</f>
        <v>7</v>
      </c>
    </row>
    <row r="1881" customFormat="false" ht="15" hidden="false" customHeight="false" outlineLevel="0" collapsed="false">
      <c r="C1881" s="0" t="n">
        <f aca="false">IF(AND(Comments!B1879='Policy card'!$C$3,Comments!N1879="Open"),1,0)</f>
        <v>0</v>
      </c>
      <c r="D1881" s="0" t="str">
        <f aca="false">IF(C1881=1,E1881,IF(P1881=1,$E$2003+Q1881,""))</f>
        <v/>
      </c>
      <c r="E1881" s="0" t="n">
        <f aca="false">E1880+C1881</f>
        <v>0</v>
      </c>
      <c r="P1881" s="0" t="n">
        <f aca="false">IF(AND(Comments!B1879='Policy card'!$C$3,Comments!N1879="Closed"),1,0)</f>
        <v>0</v>
      </c>
      <c r="Q1881" s="0" t="n">
        <f aca="false">Q1880+P1881</f>
        <v>7</v>
      </c>
    </row>
    <row r="1882" customFormat="false" ht="15" hidden="false" customHeight="false" outlineLevel="0" collapsed="false">
      <c r="C1882" s="0" t="n">
        <f aca="false">IF(AND(Comments!B1880='Policy card'!$C$3,Comments!N1880="Open"),1,0)</f>
        <v>0</v>
      </c>
      <c r="D1882" s="0" t="str">
        <f aca="false">IF(C1882=1,E1882,IF(P1882=1,$E$2003+Q1882,""))</f>
        <v/>
      </c>
      <c r="E1882" s="0" t="n">
        <f aca="false">E1881+C1882</f>
        <v>0</v>
      </c>
      <c r="P1882" s="0" t="n">
        <f aca="false">IF(AND(Comments!B1880='Policy card'!$C$3,Comments!N1880="Closed"),1,0)</f>
        <v>0</v>
      </c>
      <c r="Q1882" s="0" t="n">
        <f aca="false">Q1881+P1882</f>
        <v>7</v>
      </c>
    </row>
    <row r="1883" customFormat="false" ht="15" hidden="false" customHeight="false" outlineLevel="0" collapsed="false">
      <c r="C1883" s="0" t="n">
        <f aca="false">IF(AND(Comments!B1881='Policy card'!$C$3,Comments!N1881="Open"),1,0)</f>
        <v>0</v>
      </c>
      <c r="D1883" s="0" t="str">
        <f aca="false">IF(C1883=1,E1883,IF(P1883=1,$E$2003+Q1883,""))</f>
        <v/>
      </c>
      <c r="E1883" s="0" t="n">
        <f aca="false">E1882+C1883</f>
        <v>0</v>
      </c>
      <c r="P1883" s="0" t="n">
        <f aca="false">IF(AND(Comments!B1881='Policy card'!$C$3,Comments!N1881="Closed"),1,0)</f>
        <v>0</v>
      </c>
      <c r="Q1883" s="0" t="n">
        <f aca="false">Q1882+P1883</f>
        <v>7</v>
      </c>
    </row>
    <row r="1884" customFormat="false" ht="15" hidden="false" customHeight="false" outlineLevel="0" collapsed="false">
      <c r="C1884" s="0" t="n">
        <f aca="false">IF(AND(Comments!B1882='Policy card'!$C$3,Comments!N1882="Open"),1,0)</f>
        <v>0</v>
      </c>
      <c r="D1884" s="0" t="str">
        <f aca="false">IF(C1884=1,E1884,IF(P1884=1,$E$2003+Q1884,""))</f>
        <v/>
      </c>
      <c r="E1884" s="0" t="n">
        <f aca="false">E1883+C1884</f>
        <v>0</v>
      </c>
      <c r="P1884" s="0" t="n">
        <f aca="false">IF(AND(Comments!B1882='Policy card'!$C$3,Comments!N1882="Closed"),1,0)</f>
        <v>0</v>
      </c>
      <c r="Q1884" s="0" t="n">
        <f aca="false">Q1883+P1884</f>
        <v>7</v>
      </c>
    </row>
    <row r="1885" customFormat="false" ht="15" hidden="false" customHeight="false" outlineLevel="0" collapsed="false">
      <c r="C1885" s="0" t="n">
        <f aca="false">IF(AND(Comments!B1883='Policy card'!$C$3,Comments!N1883="Open"),1,0)</f>
        <v>0</v>
      </c>
      <c r="D1885" s="0" t="str">
        <f aca="false">IF(C1885=1,E1885,IF(P1885=1,$E$2003+Q1885,""))</f>
        <v/>
      </c>
      <c r="E1885" s="0" t="n">
        <f aca="false">E1884+C1885</f>
        <v>0</v>
      </c>
      <c r="P1885" s="0" t="n">
        <f aca="false">IF(AND(Comments!B1883='Policy card'!$C$3,Comments!N1883="Closed"),1,0)</f>
        <v>0</v>
      </c>
      <c r="Q1885" s="0" t="n">
        <f aca="false">Q1884+P1885</f>
        <v>7</v>
      </c>
    </row>
    <row r="1886" customFormat="false" ht="15" hidden="false" customHeight="false" outlineLevel="0" collapsed="false">
      <c r="C1886" s="0" t="n">
        <f aca="false">IF(AND(Comments!B1884='Policy card'!$C$3,Comments!N1884="Open"),1,0)</f>
        <v>0</v>
      </c>
      <c r="D1886" s="0" t="str">
        <f aca="false">IF(C1886=1,E1886,IF(P1886=1,$E$2003+Q1886,""))</f>
        <v/>
      </c>
      <c r="E1886" s="0" t="n">
        <f aca="false">E1885+C1886</f>
        <v>0</v>
      </c>
      <c r="P1886" s="0" t="n">
        <f aca="false">IF(AND(Comments!B1884='Policy card'!$C$3,Comments!N1884="Closed"),1,0)</f>
        <v>0</v>
      </c>
      <c r="Q1886" s="0" t="n">
        <f aca="false">Q1885+P1886</f>
        <v>7</v>
      </c>
    </row>
    <row r="1887" customFormat="false" ht="15" hidden="false" customHeight="false" outlineLevel="0" collapsed="false">
      <c r="C1887" s="0" t="n">
        <f aca="false">IF(AND(Comments!B1885='Policy card'!$C$3,Comments!N1885="Open"),1,0)</f>
        <v>0</v>
      </c>
      <c r="D1887" s="0" t="str">
        <f aca="false">IF(C1887=1,E1887,IF(P1887=1,$E$2003+Q1887,""))</f>
        <v/>
      </c>
      <c r="E1887" s="0" t="n">
        <f aca="false">E1886+C1887</f>
        <v>0</v>
      </c>
      <c r="P1887" s="0" t="n">
        <f aca="false">IF(AND(Comments!B1885='Policy card'!$C$3,Comments!N1885="Closed"),1,0)</f>
        <v>0</v>
      </c>
      <c r="Q1887" s="0" t="n">
        <f aca="false">Q1886+P1887</f>
        <v>7</v>
      </c>
    </row>
    <row r="1888" customFormat="false" ht="15" hidden="false" customHeight="false" outlineLevel="0" collapsed="false">
      <c r="C1888" s="0" t="n">
        <f aca="false">IF(AND(Comments!B1886='Policy card'!$C$3,Comments!N1886="Open"),1,0)</f>
        <v>0</v>
      </c>
      <c r="D1888" s="0" t="str">
        <f aca="false">IF(C1888=1,E1888,IF(P1888=1,$E$2003+Q1888,""))</f>
        <v/>
      </c>
      <c r="E1888" s="0" t="n">
        <f aca="false">E1887+C1888</f>
        <v>0</v>
      </c>
      <c r="P1888" s="0" t="n">
        <f aca="false">IF(AND(Comments!B1886='Policy card'!$C$3,Comments!N1886="Closed"),1,0)</f>
        <v>0</v>
      </c>
      <c r="Q1888" s="0" t="n">
        <f aca="false">Q1887+P1888</f>
        <v>7</v>
      </c>
    </row>
    <row r="1889" customFormat="false" ht="15" hidden="false" customHeight="false" outlineLevel="0" collapsed="false">
      <c r="C1889" s="0" t="n">
        <f aca="false">IF(AND(Comments!B1887='Policy card'!$C$3,Comments!N1887="Open"),1,0)</f>
        <v>0</v>
      </c>
      <c r="D1889" s="0" t="str">
        <f aca="false">IF(C1889=1,E1889,IF(P1889=1,$E$2003+Q1889,""))</f>
        <v/>
      </c>
      <c r="E1889" s="0" t="n">
        <f aca="false">E1888+C1889</f>
        <v>0</v>
      </c>
      <c r="P1889" s="0" t="n">
        <f aca="false">IF(AND(Comments!B1887='Policy card'!$C$3,Comments!N1887="Closed"),1,0)</f>
        <v>0</v>
      </c>
      <c r="Q1889" s="0" t="n">
        <f aca="false">Q1888+P1889</f>
        <v>7</v>
      </c>
    </row>
    <row r="1890" customFormat="false" ht="15" hidden="false" customHeight="false" outlineLevel="0" collapsed="false">
      <c r="C1890" s="0" t="n">
        <f aca="false">IF(AND(Comments!B1888='Policy card'!$C$3,Comments!N1888="Open"),1,0)</f>
        <v>0</v>
      </c>
      <c r="D1890" s="0" t="str">
        <f aca="false">IF(C1890=1,E1890,IF(P1890=1,$E$2003+Q1890,""))</f>
        <v/>
      </c>
      <c r="E1890" s="0" t="n">
        <f aca="false">E1889+C1890</f>
        <v>0</v>
      </c>
      <c r="P1890" s="0" t="n">
        <f aca="false">IF(AND(Comments!B1888='Policy card'!$C$3,Comments!N1888="Closed"),1,0)</f>
        <v>0</v>
      </c>
      <c r="Q1890" s="0" t="n">
        <f aca="false">Q1889+P1890</f>
        <v>7</v>
      </c>
    </row>
    <row r="1891" customFormat="false" ht="15" hidden="false" customHeight="false" outlineLevel="0" collapsed="false">
      <c r="C1891" s="0" t="n">
        <f aca="false">IF(AND(Comments!B1889='Policy card'!$C$3,Comments!N1889="Open"),1,0)</f>
        <v>0</v>
      </c>
      <c r="D1891" s="0" t="str">
        <f aca="false">IF(C1891=1,E1891,IF(P1891=1,$E$2003+Q1891,""))</f>
        <v/>
      </c>
      <c r="E1891" s="0" t="n">
        <f aca="false">E1890+C1891</f>
        <v>0</v>
      </c>
      <c r="P1891" s="0" t="n">
        <f aca="false">IF(AND(Comments!B1889='Policy card'!$C$3,Comments!N1889="Closed"),1,0)</f>
        <v>0</v>
      </c>
      <c r="Q1891" s="0" t="n">
        <f aca="false">Q1890+P1891</f>
        <v>7</v>
      </c>
    </row>
    <row r="1892" customFormat="false" ht="15" hidden="false" customHeight="false" outlineLevel="0" collapsed="false">
      <c r="C1892" s="0" t="n">
        <f aca="false">IF(AND(Comments!B1890='Policy card'!$C$3,Comments!N1890="Open"),1,0)</f>
        <v>0</v>
      </c>
      <c r="D1892" s="0" t="str">
        <f aca="false">IF(C1892=1,E1892,IF(P1892=1,$E$2003+Q1892,""))</f>
        <v/>
      </c>
      <c r="E1892" s="0" t="n">
        <f aca="false">E1891+C1892</f>
        <v>0</v>
      </c>
      <c r="P1892" s="0" t="n">
        <f aca="false">IF(AND(Comments!B1890='Policy card'!$C$3,Comments!N1890="Closed"),1,0)</f>
        <v>0</v>
      </c>
      <c r="Q1892" s="0" t="n">
        <f aca="false">Q1891+P1892</f>
        <v>7</v>
      </c>
    </row>
    <row r="1893" customFormat="false" ht="15" hidden="false" customHeight="false" outlineLevel="0" collapsed="false">
      <c r="C1893" s="0" t="n">
        <f aca="false">IF(AND(Comments!B1891='Policy card'!$C$3,Comments!N1891="Open"),1,0)</f>
        <v>0</v>
      </c>
      <c r="D1893" s="0" t="str">
        <f aca="false">IF(C1893=1,E1893,IF(P1893=1,$E$2003+Q1893,""))</f>
        <v/>
      </c>
      <c r="E1893" s="0" t="n">
        <f aca="false">E1892+C1893</f>
        <v>0</v>
      </c>
      <c r="P1893" s="0" t="n">
        <f aca="false">IF(AND(Comments!B1891='Policy card'!$C$3,Comments!N1891="Closed"),1,0)</f>
        <v>0</v>
      </c>
      <c r="Q1893" s="0" t="n">
        <f aca="false">Q1892+P1893</f>
        <v>7</v>
      </c>
    </row>
    <row r="1894" customFormat="false" ht="15" hidden="false" customHeight="false" outlineLevel="0" collapsed="false">
      <c r="C1894" s="0" t="n">
        <f aca="false">IF(AND(Comments!B1892='Policy card'!$C$3,Comments!N1892="Open"),1,0)</f>
        <v>0</v>
      </c>
      <c r="D1894" s="0" t="str">
        <f aca="false">IF(C1894=1,E1894,IF(P1894=1,$E$2003+Q1894,""))</f>
        <v/>
      </c>
      <c r="E1894" s="0" t="n">
        <f aca="false">E1893+C1894</f>
        <v>0</v>
      </c>
      <c r="P1894" s="0" t="n">
        <f aca="false">IF(AND(Comments!B1892='Policy card'!$C$3,Comments!N1892="Closed"),1,0)</f>
        <v>0</v>
      </c>
      <c r="Q1894" s="0" t="n">
        <f aca="false">Q1893+P1894</f>
        <v>7</v>
      </c>
    </row>
    <row r="1895" customFormat="false" ht="15" hidden="false" customHeight="false" outlineLevel="0" collapsed="false">
      <c r="C1895" s="0" t="n">
        <f aca="false">IF(AND(Comments!B1893='Policy card'!$C$3,Comments!N1893="Open"),1,0)</f>
        <v>0</v>
      </c>
      <c r="D1895" s="0" t="str">
        <f aca="false">IF(C1895=1,E1895,IF(P1895=1,$E$2003+Q1895,""))</f>
        <v/>
      </c>
      <c r="E1895" s="0" t="n">
        <f aca="false">E1894+C1895</f>
        <v>0</v>
      </c>
      <c r="P1895" s="0" t="n">
        <f aca="false">IF(AND(Comments!B1893='Policy card'!$C$3,Comments!N1893="Closed"),1,0)</f>
        <v>0</v>
      </c>
      <c r="Q1895" s="0" t="n">
        <f aca="false">Q1894+P1895</f>
        <v>7</v>
      </c>
    </row>
    <row r="1896" customFormat="false" ht="15" hidden="false" customHeight="false" outlineLevel="0" collapsed="false">
      <c r="C1896" s="0" t="n">
        <f aca="false">IF(AND(Comments!B1894='Policy card'!$C$3,Comments!N1894="Open"),1,0)</f>
        <v>0</v>
      </c>
      <c r="D1896" s="0" t="str">
        <f aca="false">IF(C1896=1,E1896,IF(P1896=1,$E$2003+Q1896,""))</f>
        <v/>
      </c>
      <c r="E1896" s="0" t="n">
        <f aca="false">E1895+C1896</f>
        <v>0</v>
      </c>
      <c r="P1896" s="0" t="n">
        <f aca="false">IF(AND(Comments!B1894='Policy card'!$C$3,Comments!N1894="Closed"),1,0)</f>
        <v>0</v>
      </c>
      <c r="Q1896" s="0" t="n">
        <f aca="false">Q1895+P1896</f>
        <v>7</v>
      </c>
    </row>
    <row r="1897" customFormat="false" ht="15" hidden="false" customHeight="false" outlineLevel="0" collapsed="false">
      <c r="C1897" s="0" t="n">
        <f aca="false">IF(AND(Comments!B1895='Policy card'!$C$3,Comments!N1895="Open"),1,0)</f>
        <v>0</v>
      </c>
      <c r="D1897" s="0" t="str">
        <f aca="false">IF(C1897=1,E1897,IF(P1897=1,$E$2003+Q1897,""))</f>
        <v/>
      </c>
      <c r="E1897" s="0" t="n">
        <f aca="false">E1896+C1897</f>
        <v>0</v>
      </c>
      <c r="P1897" s="0" t="n">
        <f aca="false">IF(AND(Comments!B1895='Policy card'!$C$3,Comments!N1895="Closed"),1,0)</f>
        <v>0</v>
      </c>
      <c r="Q1897" s="0" t="n">
        <f aca="false">Q1896+P1897</f>
        <v>7</v>
      </c>
    </row>
    <row r="1898" customFormat="false" ht="15" hidden="false" customHeight="false" outlineLevel="0" collapsed="false">
      <c r="C1898" s="0" t="n">
        <f aca="false">IF(AND(Comments!B1896='Policy card'!$C$3,Comments!N1896="Open"),1,0)</f>
        <v>0</v>
      </c>
      <c r="D1898" s="0" t="str">
        <f aca="false">IF(C1898=1,E1898,IF(P1898=1,$E$2003+Q1898,""))</f>
        <v/>
      </c>
      <c r="E1898" s="0" t="n">
        <f aca="false">E1897+C1898</f>
        <v>0</v>
      </c>
      <c r="P1898" s="0" t="n">
        <f aca="false">IF(AND(Comments!B1896='Policy card'!$C$3,Comments!N1896="Closed"),1,0)</f>
        <v>0</v>
      </c>
      <c r="Q1898" s="0" t="n">
        <f aca="false">Q1897+P1898</f>
        <v>7</v>
      </c>
    </row>
    <row r="1899" customFormat="false" ht="15" hidden="false" customHeight="false" outlineLevel="0" collapsed="false">
      <c r="C1899" s="0" t="n">
        <f aca="false">IF(AND(Comments!B1897='Policy card'!$C$3,Comments!N1897="Open"),1,0)</f>
        <v>0</v>
      </c>
      <c r="D1899" s="0" t="str">
        <f aca="false">IF(C1899=1,E1899,IF(P1899=1,$E$2003+Q1899,""))</f>
        <v/>
      </c>
      <c r="E1899" s="0" t="n">
        <f aca="false">E1898+C1899</f>
        <v>0</v>
      </c>
      <c r="P1899" s="0" t="n">
        <f aca="false">IF(AND(Comments!B1897='Policy card'!$C$3,Comments!N1897="Closed"),1,0)</f>
        <v>0</v>
      </c>
      <c r="Q1899" s="0" t="n">
        <f aca="false">Q1898+P1899</f>
        <v>7</v>
      </c>
    </row>
    <row r="1900" customFormat="false" ht="15" hidden="false" customHeight="false" outlineLevel="0" collapsed="false">
      <c r="C1900" s="0" t="n">
        <f aca="false">IF(AND(Comments!B1898='Policy card'!$C$3,Comments!N1898="Open"),1,0)</f>
        <v>0</v>
      </c>
      <c r="D1900" s="0" t="str">
        <f aca="false">IF(C1900=1,E1900,IF(P1900=1,$E$2003+Q1900,""))</f>
        <v/>
      </c>
      <c r="E1900" s="0" t="n">
        <f aca="false">E1899+C1900</f>
        <v>0</v>
      </c>
      <c r="P1900" s="0" t="n">
        <f aca="false">IF(AND(Comments!B1898='Policy card'!$C$3,Comments!N1898="Closed"),1,0)</f>
        <v>0</v>
      </c>
      <c r="Q1900" s="0" t="n">
        <f aca="false">Q1899+P1900</f>
        <v>7</v>
      </c>
    </row>
    <row r="1901" customFormat="false" ht="15" hidden="false" customHeight="false" outlineLevel="0" collapsed="false">
      <c r="C1901" s="0" t="n">
        <f aca="false">IF(AND(Comments!B1899='Policy card'!$C$3,Comments!N1899="Open"),1,0)</f>
        <v>0</v>
      </c>
      <c r="D1901" s="0" t="str">
        <f aca="false">IF(C1901=1,E1901,IF(P1901=1,$E$2003+Q1901,""))</f>
        <v/>
      </c>
      <c r="E1901" s="0" t="n">
        <f aca="false">E1900+C1901</f>
        <v>0</v>
      </c>
      <c r="P1901" s="0" t="n">
        <f aca="false">IF(AND(Comments!B1899='Policy card'!$C$3,Comments!N1899="Closed"),1,0)</f>
        <v>0</v>
      </c>
      <c r="Q1901" s="0" t="n">
        <f aca="false">Q1900+P1901</f>
        <v>7</v>
      </c>
    </row>
    <row r="1902" customFormat="false" ht="15" hidden="false" customHeight="false" outlineLevel="0" collapsed="false">
      <c r="C1902" s="0" t="n">
        <f aca="false">IF(AND(Comments!B1900='Policy card'!$C$3,Comments!N1900="Open"),1,0)</f>
        <v>0</v>
      </c>
      <c r="D1902" s="0" t="str">
        <f aca="false">IF(C1902=1,E1902,IF(P1902=1,$E$2003+Q1902,""))</f>
        <v/>
      </c>
      <c r="E1902" s="0" t="n">
        <f aca="false">E1901+C1902</f>
        <v>0</v>
      </c>
      <c r="P1902" s="0" t="n">
        <f aca="false">IF(AND(Comments!B1900='Policy card'!$C$3,Comments!N1900="Closed"),1,0)</f>
        <v>0</v>
      </c>
      <c r="Q1902" s="0" t="n">
        <f aca="false">Q1901+P1902</f>
        <v>7</v>
      </c>
    </row>
    <row r="1903" customFormat="false" ht="15" hidden="false" customHeight="false" outlineLevel="0" collapsed="false">
      <c r="C1903" s="0" t="n">
        <f aca="false">IF(AND(Comments!B1901='Policy card'!$C$3,Comments!N1901="Open"),1,0)</f>
        <v>0</v>
      </c>
      <c r="D1903" s="0" t="str">
        <f aca="false">IF(C1903=1,E1903,IF(P1903=1,$E$2003+Q1903,""))</f>
        <v/>
      </c>
      <c r="E1903" s="0" t="n">
        <f aca="false">E1902+C1903</f>
        <v>0</v>
      </c>
      <c r="P1903" s="0" t="n">
        <f aca="false">IF(AND(Comments!B1901='Policy card'!$C$3,Comments!N1901="Closed"),1,0)</f>
        <v>0</v>
      </c>
      <c r="Q1903" s="0" t="n">
        <f aca="false">Q1902+P1903</f>
        <v>7</v>
      </c>
    </row>
    <row r="1904" customFormat="false" ht="15" hidden="false" customHeight="false" outlineLevel="0" collapsed="false">
      <c r="C1904" s="0" t="n">
        <f aca="false">IF(AND(Comments!B1902='Policy card'!$C$3,Comments!N1902="Open"),1,0)</f>
        <v>0</v>
      </c>
      <c r="D1904" s="0" t="str">
        <f aca="false">IF(C1904=1,E1904,IF(P1904=1,$E$2003+Q1904,""))</f>
        <v/>
      </c>
      <c r="E1904" s="0" t="n">
        <f aca="false">E1903+C1904</f>
        <v>0</v>
      </c>
      <c r="P1904" s="0" t="n">
        <f aca="false">IF(AND(Comments!B1902='Policy card'!$C$3,Comments!N1902="Closed"),1,0)</f>
        <v>0</v>
      </c>
      <c r="Q1904" s="0" t="n">
        <f aca="false">Q1903+P1904</f>
        <v>7</v>
      </c>
    </row>
    <row r="1905" customFormat="false" ht="15" hidden="false" customHeight="false" outlineLevel="0" collapsed="false">
      <c r="C1905" s="0" t="n">
        <f aca="false">IF(AND(Comments!B1903='Policy card'!$C$3,Comments!N1903="Open"),1,0)</f>
        <v>0</v>
      </c>
      <c r="D1905" s="0" t="str">
        <f aca="false">IF(C1905=1,E1905,IF(P1905=1,$E$2003+Q1905,""))</f>
        <v/>
      </c>
      <c r="E1905" s="0" t="n">
        <f aca="false">E1904+C1905</f>
        <v>0</v>
      </c>
      <c r="P1905" s="0" t="n">
        <f aca="false">IF(AND(Comments!B1903='Policy card'!$C$3,Comments!N1903="Closed"),1,0)</f>
        <v>0</v>
      </c>
      <c r="Q1905" s="0" t="n">
        <f aca="false">Q1904+P1905</f>
        <v>7</v>
      </c>
    </row>
    <row r="1906" customFormat="false" ht="15" hidden="false" customHeight="false" outlineLevel="0" collapsed="false">
      <c r="C1906" s="0" t="n">
        <f aca="false">IF(AND(Comments!B1904='Policy card'!$C$3,Comments!N1904="Open"),1,0)</f>
        <v>0</v>
      </c>
      <c r="D1906" s="0" t="str">
        <f aca="false">IF(C1906=1,E1906,IF(P1906=1,$E$2003+Q1906,""))</f>
        <v/>
      </c>
      <c r="E1906" s="0" t="n">
        <f aca="false">E1905+C1906</f>
        <v>0</v>
      </c>
      <c r="P1906" s="0" t="n">
        <f aca="false">IF(AND(Comments!B1904='Policy card'!$C$3,Comments!N1904="Closed"),1,0)</f>
        <v>0</v>
      </c>
      <c r="Q1906" s="0" t="n">
        <f aca="false">Q1905+P1906</f>
        <v>7</v>
      </c>
    </row>
    <row r="1907" customFormat="false" ht="15" hidden="false" customHeight="false" outlineLevel="0" collapsed="false">
      <c r="C1907" s="0" t="n">
        <f aca="false">IF(AND(Comments!B1905='Policy card'!$C$3,Comments!N1905="Open"),1,0)</f>
        <v>0</v>
      </c>
      <c r="D1907" s="0" t="str">
        <f aca="false">IF(C1907=1,E1907,IF(P1907=1,$E$2003+Q1907,""))</f>
        <v/>
      </c>
      <c r="E1907" s="0" t="n">
        <f aca="false">E1906+C1907</f>
        <v>0</v>
      </c>
      <c r="P1907" s="0" t="n">
        <f aca="false">IF(AND(Comments!B1905='Policy card'!$C$3,Comments!N1905="Closed"),1,0)</f>
        <v>0</v>
      </c>
      <c r="Q1907" s="0" t="n">
        <f aca="false">Q1906+P1907</f>
        <v>7</v>
      </c>
    </row>
    <row r="1908" customFormat="false" ht="15" hidden="false" customHeight="false" outlineLevel="0" collapsed="false">
      <c r="C1908" s="0" t="n">
        <f aca="false">IF(AND(Comments!B1906='Policy card'!$C$3,Comments!N1906="Open"),1,0)</f>
        <v>0</v>
      </c>
      <c r="D1908" s="0" t="str">
        <f aca="false">IF(C1908=1,E1908,IF(P1908=1,$E$2003+Q1908,""))</f>
        <v/>
      </c>
      <c r="E1908" s="0" t="n">
        <f aca="false">E1907+C1908</f>
        <v>0</v>
      </c>
      <c r="P1908" s="0" t="n">
        <f aca="false">IF(AND(Comments!B1906='Policy card'!$C$3,Comments!N1906="Closed"),1,0)</f>
        <v>0</v>
      </c>
      <c r="Q1908" s="0" t="n">
        <f aca="false">Q1907+P1908</f>
        <v>7</v>
      </c>
    </row>
    <row r="1909" customFormat="false" ht="15" hidden="false" customHeight="false" outlineLevel="0" collapsed="false">
      <c r="C1909" s="0" t="n">
        <f aca="false">IF(AND(Comments!B1907='Policy card'!$C$3,Comments!N1907="Open"),1,0)</f>
        <v>0</v>
      </c>
      <c r="D1909" s="0" t="str">
        <f aca="false">IF(C1909=1,E1909,IF(P1909=1,$E$2003+Q1909,""))</f>
        <v/>
      </c>
      <c r="E1909" s="0" t="n">
        <f aca="false">E1908+C1909</f>
        <v>0</v>
      </c>
      <c r="P1909" s="0" t="n">
        <f aca="false">IF(AND(Comments!B1907='Policy card'!$C$3,Comments!N1907="Closed"),1,0)</f>
        <v>0</v>
      </c>
      <c r="Q1909" s="0" t="n">
        <f aca="false">Q1908+P1909</f>
        <v>7</v>
      </c>
    </row>
    <row r="1910" customFormat="false" ht="15" hidden="false" customHeight="false" outlineLevel="0" collapsed="false">
      <c r="C1910" s="0" t="n">
        <f aca="false">IF(AND(Comments!B1908='Policy card'!$C$3,Comments!N1908="Open"),1,0)</f>
        <v>0</v>
      </c>
      <c r="D1910" s="0" t="str">
        <f aca="false">IF(C1910=1,E1910,IF(P1910=1,$E$2003+Q1910,""))</f>
        <v/>
      </c>
      <c r="E1910" s="0" t="n">
        <f aca="false">E1909+C1910</f>
        <v>0</v>
      </c>
      <c r="P1910" s="0" t="n">
        <f aca="false">IF(AND(Comments!B1908='Policy card'!$C$3,Comments!N1908="Closed"),1,0)</f>
        <v>0</v>
      </c>
      <c r="Q1910" s="0" t="n">
        <f aca="false">Q1909+P1910</f>
        <v>7</v>
      </c>
    </row>
    <row r="1911" customFormat="false" ht="15" hidden="false" customHeight="false" outlineLevel="0" collapsed="false">
      <c r="C1911" s="0" t="n">
        <f aca="false">IF(AND(Comments!B1909='Policy card'!$C$3,Comments!N1909="Open"),1,0)</f>
        <v>0</v>
      </c>
      <c r="D1911" s="0" t="str">
        <f aca="false">IF(C1911=1,E1911,IF(P1911=1,$E$2003+Q1911,""))</f>
        <v/>
      </c>
      <c r="E1911" s="0" t="n">
        <f aca="false">E1910+C1911</f>
        <v>0</v>
      </c>
      <c r="P1911" s="0" t="n">
        <f aca="false">IF(AND(Comments!B1909='Policy card'!$C$3,Comments!N1909="Closed"),1,0)</f>
        <v>0</v>
      </c>
      <c r="Q1911" s="0" t="n">
        <f aca="false">Q1910+P1911</f>
        <v>7</v>
      </c>
    </row>
    <row r="1912" customFormat="false" ht="15" hidden="false" customHeight="false" outlineLevel="0" collapsed="false">
      <c r="C1912" s="0" t="n">
        <f aca="false">IF(AND(Comments!B1910='Policy card'!$C$3,Comments!N1910="Open"),1,0)</f>
        <v>0</v>
      </c>
      <c r="D1912" s="0" t="str">
        <f aca="false">IF(C1912=1,E1912,IF(P1912=1,$E$2003+Q1912,""))</f>
        <v/>
      </c>
      <c r="E1912" s="0" t="n">
        <f aca="false">E1911+C1912</f>
        <v>0</v>
      </c>
      <c r="P1912" s="0" t="n">
        <f aca="false">IF(AND(Comments!B1910='Policy card'!$C$3,Comments!N1910="Closed"),1,0)</f>
        <v>0</v>
      </c>
      <c r="Q1912" s="0" t="n">
        <f aca="false">Q1911+P1912</f>
        <v>7</v>
      </c>
    </row>
    <row r="1913" customFormat="false" ht="15" hidden="false" customHeight="false" outlineLevel="0" collapsed="false">
      <c r="C1913" s="0" t="n">
        <f aca="false">IF(AND(Comments!B1911='Policy card'!$C$3,Comments!N1911="Open"),1,0)</f>
        <v>0</v>
      </c>
      <c r="D1913" s="0" t="str">
        <f aca="false">IF(C1913=1,E1913,IF(P1913=1,$E$2003+Q1913,""))</f>
        <v/>
      </c>
      <c r="E1913" s="0" t="n">
        <f aca="false">E1912+C1913</f>
        <v>0</v>
      </c>
      <c r="P1913" s="0" t="n">
        <f aca="false">IF(AND(Comments!B1911='Policy card'!$C$3,Comments!N1911="Closed"),1,0)</f>
        <v>0</v>
      </c>
      <c r="Q1913" s="0" t="n">
        <f aca="false">Q1912+P1913</f>
        <v>7</v>
      </c>
    </row>
    <row r="1914" customFormat="false" ht="15" hidden="false" customHeight="false" outlineLevel="0" collapsed="false">
      <c r="C1914" s="0" t="n">
        <f aca="false">IF(AND(Comments!B1912='Policy card'!$C$3,Comments!N1912="Open"),1,0)</f>
        <v>0</v>
      </c>
      <c r="D1914" s="0" t="str">
        <f aca="false">IF(C1914=1,E1914,IF(P1914=1,$E$2003+Q1914,""))</f>
        <v/>
      </c>
      <c r="E1914" s="0" t="n">
        <f aca="false">E1913+C1914</f>
        <v>0</v>
      </c>
      <c r="P1914" s="0" t="n">
        <f aca="false">IF(AND(Comments!B1912='Policy card'!$C$3,Comments!N1912="Closed"),1,0)</f>
        <v>0</v>
      </c>
      <c r="Q1914" s="0" t="n">
        <f aca="false">Q1913+P1914</f>
        <v>7</v>
      </c>
    </row>
    <row r="1915" customFormat="false" ht="15" hidden="false" customHeight="false" outlineLevel="0" collapsed="false">
      <c r="C1915" s="0" t="n">
        <f aca="false">IF(AND(Comments!B1913='Policy card'!$C$3,Comments!N1913="Open"),1,0)</f>
        <v>0</v>
      </c>
      <c r="D1915" s="0" t="str">
        <f aca="false">IF(C1915=1,E1915,IF(P1915=1,$E$2003+Q1915,""))</f>
        <v/>
      </c>
      <c r="E1915" s="0" t="n">
        <f aca="false">E1914+C1915</f>
        <v>0</v>
      </c>
      <c r="P1915" s="0" t="n">
        <f aca="false">IF(AND(Comments!B1913='Policy card'!$C$3,Comments!N1913="Closed"),1,0)</f>
        <v>0</v>
      </c>
      <c r="Q1915" s="0" t="n">
        <f aca="false">Q1914+P1915</f>
        <v>7</v>
      </c>
    </row>
    <row r="1916" customFormat="false" ht="15" hidden="false" customHeight="false" outlineLevel="0" collapsed="false">
      <c r="C1916" s="0" t="n">
        <f aca="false">IF(AND(Comments!B1914='Policy card'!$C$3,Comments!N1914="Open"),1,0)</f>
        <v>0</v>
      </c>
      <c r="D1916" s="0" t="str">
        <f aca="false">IF(C1916=1,E1916,IF(P1916=1,$E$2003+Q1916,""))</f>
        <v/>
      </c>
      <c r="E1916" s="0" t="n">
        <f aca="false">E1915+C1916</f>
        <v>0</v>
      </c>
      <c r="P1916" s="0" t="n">
        <f aca="false">IF(AND(Comments!B1914='Policy card'!$C$3,Comments!N1914="Closed"),1,0)</f>
        <v>0</v>
      </c>
      <c r="Q1916" s="0" t="n">
        <f aca="false">Q1915+P1916</f>
        <v>7</v>
      </c>
    </row>
    <row r="1917" customFormat="false" ht="15" hidden="false" customHeight="false" outlineLevel="0" collapsed="false">
      <c r="C1917" s="0" t="n">
        <f aca="false">IF(AND(Comments!B1915='Policy card'!$C$3,Comments!N1915="Open"),1,0)</f>
        <v>0</v>
      </c>
      <c r="D1917" s="0" t="str">
        <f aca="false">IF(C1917=1,E1917,IF(P1917=1,$E$2003+Q1917,""))</f>
        <v/>
      </c>
      <c r="E1917" s="0" t="n">
        <f aca="false">E1916+C1917</f>
        <v>0</v>
      </c>
      <c r="P1917" s="0" t="n">
        <f aca="false">IF(AND(Comments!B1915='Policy card'!$C$3,Comments!N1915="Closed"),1,0)</f>
        <v>0</v>
      </c>
      <c r="Q1917" s="0" t="n">
        <f aca="false">Q1916+P1917</f>
        <v>7</v>
      </c>
    </row>
    <row r="1918" customFormat="false" ht="15" hidden="false" customHeight="false" outlineLevel="0" collapsed="false">
      <c r="C1918" s="0" t="n">
        <f aca="false">IF(AND(Comments!B1916='Policy card'!$C$3,Comments!N1916="Open"),1,0)</f>
        <v>0</v>
      </c>
      <c r="D1918" s="0" t="str">
        <f aca="false">IF(C1918=1,E1918,IF(P1918=1,$E$2003+Q1918,""))</f>
        <v/>
      </c>
      <c r="E1918" s="0" t="n">
        <f aca="false">E1917+C1918</f>
        <v>0</v>
      </c>
      <c r="P1918" s="0" t="n">
        <f aca="false">IF(AND(Comments!B1916='Policy card'!$C$3,Comments!N1916="Closed"),1,0)</f>
        <v>0</v>
      </c>
      <c r="Q1918" s="0" t="n">
        <f aca="false">Q1917+P1918</f>
        <v>7</v>
      </c>
    </row>
    <row r="1919" customFormat="false" ht="15" hidden="false" customHeight="false" outlineLevel="0" collapsed="false">
      <c r="C1919" s="0" t="n">
        <f aca="false">IF(AND(Comments!B1917='Policy card'!$C$3,Comments!N1917="Open"),1,0)</f>
        <v>0</v>
      </c>
      <c r="D1919" s="0" t="str">
        <f aca="false">IF(C1919=1,E1919,IF(P1919=1,$E$2003+Q1919,""))</f>
        <v/>
      </c>
      <c r="E1919" s="0" t="n">
        <f aca="false">E1918+C1919</f>
        <v>0</v>
      </c>
      <c r="P1919" s="0" t="n">
        <f aca="false">IF(AND(Comments!B1917='Policy card'!$C$3,Comments!N1917="Closed"),1,0)</f>
        <v>0</v>
      </c>
      <c r="Q1919" s="0" t="n">
        <f aca="false">Q1918+P1919</f>
        <v>7</v>
      </c>
    </row>
    <row r="1920" customFormat="false" ht="15" hidden="false" customHeight="false" outlineLevel="0" collapsed="false">
      <c r="C1920" s="0" t="n">
        <f aca="false">IF(AND(Comments!B1918='Policy card'!$C$3,Comments!N1918="Open"),1,0)</f>
        <v>0</v>
      </c>
      <c r="D1920" s="0" t="str">
        <f aca="false">IF(C1920=1,E1920,IF(P1920=1,$E$2003+Q1920,""))</f>
        <v/>
      </c>
      <c r="E1920" s="0" t="n">
        <f aca="false">E1919+C1920</f>
        <v>0</v>
      </c>
      <c r="P1920" s="0" t="n">
        <f aca="false">IF(AND(Comments!B1918='Policy card'!$C$3,Comments!N1918="Closed"),1,0)</f>
        <v>0</v>
      </c>
      <c r="Q1920" s="0" t="n">
        <f aca="false">Q1919+P1920</f>
        <v>7</v>
      </c>
    </row>
    <row r="1921" customFormat="false" ht="15" hidden="false" customHeight="false" outlineLevel="0" collapsed="false">
      <c r="C1921" s="0" t="n">
        <f aca="false">IF(AND(Comments!B1919='Policy card'!$C$3,Comments!N1919="Open"),1,0)</f>
        <v>0</v>
      </c>
      <c r="D1921" s="0" t="str">
        <f aca="false">IF(C1921=1,E1921,IF(P1921=1,$E$2003+Q1921,""))</f>
        <v/>
      </c>
      <c r="E1921" s="0" t="n">
        <f aca="false">E1920+C1921</f>
        <v>0</v>
      </c>
      <c r="P1921" s="0" t="n">
        <f aca="false">IF(AND(Comments!B1919='Policy card'!$C$3,Comments!N1919="Closed"),1,0)</f>
        <v>0</v>
      </c>
      <c r="Q1921" s="0" t="n">
        <f aca="false">Q1920+P1921</f>
        <v>7</v>
      </c>
    </row>
    <row r="1922" customFormat="false" ht="15" hidden="false" customHeight="false" outlineLevel="0" collapsed="false">
      <c r="C1922" s="0" t="n">
        <f aca="false">IF(AND(Comments!B1920='Policy card'!$C$3,Comments!N1920="Open"),1,0)</f>
        <v>0</v>
      </c>
      <c r="D1922" s="0" t="str">
        <f aca="false">IF(C1922=1,E1922,IF(P1922=1,$E$2003+Q1922,""))</f>
        <v/>
      </c>
      <c r="E1922" s="0" t="n">
        <f aca="false">E1921+C1922</f>
        <v>0</v>
      </c>
      <c r="P1922" s="0" t="n">
        <f aca="false">IF(AND(Comments!B1920='Policy card'!$C$3,Comments!N1920="Closed"),1,0)</f>
        <v>0</v>
      </c>
      <c r="Q1922" s="0" t="n">
        <f aca="false">Q1921+P1922</f>
        <v>7</v>
      </c>
    </row>
    <row r="1923" customFormat="false" ht="15" hidden="false" customHeight="false" outlineLevel="0" collapsed="false">
      <c r="C1923" s="0" t="n">
        <f aca="false">IF(AND(Comments!B1921='Policy card'!$C$3,Comments!N1921="Open"),1,0)</f>
        <v>0</v>
      </c>
      <c r="D1923" s="0" t="str">
        <f aca="false">IF(C1923=1,E1923,IF(P1923=1,$E$2003+Q1923,""))</f>
        <v/>
      </c>
      <c r="E1923" s="0" t="n">
        <f aca="false">E1922+C1923</f>
        <v>0</v>
      </c>
      <c r="P1923" s="0" t="n">
        <f aca="false">IF(AND(Comments!B1921='Policy card'!$C$3,Comments!N1921="Closed"),1,0)</f>
        <v>0</v>
      </c>
      <c r="Q1923" s="0" t="n">
        <f aca="false">Q1922+P1923</f>
        <v>7</v>
      </c>
    </row>
    <row r="1924" customFormat="false" ht="15" hidden="false" customHeight="false" outlineLevel="0" collapsed="false">
      <c r="C1924" s="0" t="n">
        <f aca="false">IF(AND(Comments!B1922='Policy card'!$C$3,Comments!N1922="Open"),1,0)</f>
        <v>0</v>
      </c>
      <c r="D1924" s="0" t="str">
        <f aca="false">IF(C1924=1,E1924,IF(P1924=1,$E$2003+Q1924,""))</f>
        <v/>
      </c>
      <c r="E1924" s="0" t="n">
        <f aca="false">E1923+C1924</f>
        <v>0</v>
      </c>
      <c r="P1924" s="0" t="n">
        <f aca="false">IF(AND(Comments!B1922='Policy card'!$C$3,Comments!N1922="Closed"),1,0)</f>
        <v>0</v>
      </c>
      <c r="Q1924" s="0" t="n">
        <f aca="false">Q1923+P1924</f>
        <v>7</v>
      </c>
    </row>
    <row r="1925" customFormat="false" ht="15" hidden="false" customHeight="false" outlineLevel="0" collapsed="false">
      <c r="C1925" s="0" t="n">
        <f aca="false">IF(AND(Comments!B1923='Policy card'!$C$3,Comments!N1923="Open"),1,0)</f>
        <v>0</v>
      </c>
      <c r="D1925" s="0" t="str">
        <f aca="false">IF(C1925=1,E1925,IF(P1925=1,$E$2003+Q1925,""))</f>
        <v/>
      </c>
      <c r="E1925" s="0" t="n">
        <f aca="false">E1924+C1925</f>
        <v>0</v>
      </c>
      <c r="P1925" s="0" t="n">
        <f aca="false">IF(AND(Comments!B1923='Policy card'!$C$3,Comments!N1923="Closed"),1,0)</f>
        <v>0</v>
      </c>
      <c r="Q1925" s="0" t="n">
        <f aca="false">Q1924+P1925</f>
        <v>7</v>
      </c>
    </row>
    <row r="1926" customFormat="false" ht="15" hidden="false" customHeight="false" outlineLevel="0" collapsed="false">
      <c r="C1926" s="0" t="n">
        <f aca="false">IF(AND(Comments!B1924='Policy card'!$C$3,Comments!N1924="Open"),1,0)</f>
        <v>0</v>
      </c>
      <c r="D1926" s="0" t="str">
        <f aca="false">IF(C1926=1,E1926,IF(P1926=1,$E$2003+Q1926,""))</f>
        <v/>
      </c>
      <c r="E1926" s="0" t="n">
        <f aca="false">E1925+C1926</f>
        <v>0</v>
      </c>
      <c r="P1926" s="0" t="n">
        <f aca="false">IF(AND(Comments!B1924='Policy card'!$C$3,Comments!N1924="Closed"),1,0)</f>
        <v>0</v>
      </c>
      <c r="Q1926" s="0" t="n">
        <f aca="false">Q1925+P1926</f>
        <v>7</v>
      </c>
    </row>
    <row r="1927" customFormat="false" ht="15" hidden="false" customHeight="false" outlineLevel="0" collapsed="false">
      <c r="C1927" s="0" t="n">
        <f aca="false">IF(AND(Comments!B1925='Policy card'!$C$3,Comments!N1925="Open"),1,0)</f>
        <v>0</v>
      </c>
      <c r="D1927" s="0" t="str">
        <f aca="false">IF(C1927=1,E1927,IF(P1927=1,$E$2003+Q1927,""))</f>
        <v/>
      </c>
      <c r="E1927" s="0" t="n">
        <f aca="false">E1926+C1927</f>
        <v>0</v>
      </c>
      <c r="P1927" s="0" t="n">
        <f aca="false">IF(AND(Comments!B1925='Policy card'!$C$3,Comments!N1925="Closed"),1,0)</f>
        <v>0</v>
      </c>
      <c r="Q1927" s="0" t="n">
        <f aca="false">Q1926+P1927</f>
        <v>7</v>
      </c>
    </row>
    <row r="1928" customFormat="false" ht="15" hidden="false" customHeight="false" outlineLevel="0" collapsed="false">
      <c r="C1928" s="0" t="n">
        <f aca="false">IF(AND(Comments!B1926='Policy card'!$C$3,Comments!N1926="Open"),1,0)</f>
        <v>0</v>
      </c>
      <c r="D1928" s="0" t="str">
        <f aca="false">IF(C1928=1,E1928,IF(P1928=1,$E$2003+Q1928,""))</f>
        <v/>
      </c>
      <c r="E1928" s="0" t="n">
        <f aca="false">E1927+C1928</f>
        <v>0</v>
      </c>
      <c r="P1928" s="0" t="n">
        <f aca="false">IF(AND(Comments!B1926='Policy card'!$C$3,Comments!N1926="Closed"),1,0)</f>
        <v>0</v>
      </c>
      <c r="Q1928" s="0" t="n">
        <f aca="false">Q1927+P1928</f>
        <v>7</v>
      </c>
    </row>
    <row r="1929" customFormat="false" ht="15" hidden="false" customHeight="false" outlineLevel="0" collapsed="false">
      <c r="C1929" s="0" t="n">
        <f aca="false">IF(AND(Comments!B1927='Policy card'!$C$3,Comments!N1927="Open"),1,0)</f>
        <v>0</v>
      </c>
      <c r="D1929" s="0" t="str">
        <f aca="false">IF(C1929=1,E1929,IF(P1929=1,$E$2003+Q1929,""))</f>
        <v/>
      </c>
      <c r="E1929" s="0" t="n">
        <f aca="false">E1928+C1929</f>
        <v>0</v>
      </c>
      <c r="P1929" s="0" t="n">
        <f aca="false">IF(AND(Comments!B1927='Policy card'!$C$3,Comments!N1927="Closed"),1,0)</f>
        <v>0</v>
      </c>
      <c r="Q1929" s="0" t="n">
        <f aca="false">Q1928+P1929</f>
        <v>7</v>
      </c>
    </row>
    <row r="1930" customFormat="false" ht="15" hidden="false" customHeight="false" outlineLevel="0" collapsed="false">
      <c r="C1930" s="0" t="n">
        <f aca="false">IF(AND(Comments!B1928='Policy card'!$C$3,Comments!N1928="Open"),1,0)</f>
        <v>0</v>
      </c>
      <c r="D1930" s="0" t="str">
        <f aca="false">IF(C1930=1,E1930,IF(P1930=1,$E$2003+Q1930,""))</f>
        <v/>
      </c>
      <c r="E1930" s="0" t="n">
        <f aca="false">E1929+C1930</f>
        <v>0</v>
      </c>
      <c r="P1930" s="0" t="n">
        <f aca="false">IF(AND(Comments!B1928='Policy card'!$C$3,Comments!N1928="Closed"),1,0)</f>
        <v>0</v>
      </c>
      <c r="Q1930" s="0" t="n">
        <f aca="false">Q1929+P1930</f>
        <v>7</v>
      </c>
    </row>
    <row r="1931" customFormat="false" ht="15" hidden="false" customHeight="false" outlineLevel="0" collapsed="false">
      <c r="C1931" s="0" t="n">
        <f aca="false">IF(AND(Comments!B1929='Policy card'!$C$3,Comments!N1929="Open"),1,0)</f>
        <v>0</v>
      </c>
      <c r="D1931" s="0" t="str">
        <f aca="false">IF(C1931=1,E1931,IF(P1931=1,$E$2003+Q1931,""))</f>
        <v/>
      </c>
      <c r="E1931" s="0" t="n">
        <f aca="false">E1930+C1931</f>
        <v>0</v>
      </c>
      <c r="P1931" s="0" t="n">
        <f aca="false">IF(AND(Comments!B1929='Policy card'!$C$3,Comments!N1929="Closed"),1,0)</f>
        <v>0</v>
      </c>
      <c r="Q1931" s="0" t="n">
        <f aca="false">Q1930+P1931</f>
        <v>7</v>
      </c>
    </row>
    <row r="1932" customFormat="false" ht="15" hidden="false" customHeight="false" outlineLevel="0" collapsed="false">
      <c r="C1932" s="0" t="n">
        <f aca="false">IF(AND(Comments!B1930='Policy card'!$C$3,Comments!N1930="Open"),1,0)</f>
        <v>0</v>
      </c>
      <c r="D1932" s="0" t="str">
        <f aca="false">IF(C1932=1,E1932,IF(P1932=1,$E$2003+Q1932,""))</f>
        <v/>
      </c>
      <c r="E1932" s="0" t="n">
        <f aca="false">E1931+C1932</f>
        <v>0</v>
      </c>
      <c r="P1932" s="0" t="n">
        <f aca="false">IF(AND(Comments!B1930='Policy card'!$C$3,Comments!N1930="Closed"),1,0)</f>
        <v>0</v>
      </c>
      <c r="Q1932" s="0" t="n">
        <f aca="false">Q1931+P1932</f>
        <v>7</v>
      </c>
    </row>
    <row r="1933" customFormat="false" ht="15" hidden="false" customHeight="false" outlineLevel="0" collapsed="false">
      <c r="C1933" s="0" t="n">
        <f aca="false">IF(AND(Comments!B1931='Policy card'!$C$3,Comments!N1931="Open"),1,0)</f>
        <v>0</v>
      </c>
      <c r="D1933" s="0" t="str">
        <f aca="false">IF(C1933=1,E1933,IF(P1933=1,$E$2003+Q1933,""))</f>
        <v/>
      </c>
      <c r="E1933" s="0" t="n">
        <f aca="false">E1932+C1933</f>
        <v>0</v>
      </c>
      <c r="P1933" s="0" t="n">
        <f aca="false">IF(AND(Comments!B1931='Policy card'!$C$3,Comments!N1931="Closed"),1,0)</f>
        <v>0</v>
      </c>
      <c r="Q1933" s="0" t="n">
        <f aca="false">Q1932+P1933</f>
        <v>7</v>
      </c>
    </row>
    <row r="1934" customFormat="false" ht="15" hidden="false" customHeight="false" outlineLevel="0" collapsed="false">
      <c r="C1934" s="0" t="n">
        <f aca="false">IF(AND(Comments!B1932='Policy card'!$C$3,Comments!N1932="Open"),1,0)</f>
        <v>0</v>
      </c>
      <c r="D1934" s="0" t="str">
        <f aca="false">IF(C1934=1,E1934,IF(P1934=1,$E$2003+Q1934,""))</f>
        <v/>
      </c>
      <c r="E1934" s="0" t="n">
        <f aca="false">E1933+C1934</f>
        <v>0</v>
      </c>
      <c r="P1934" s="0" t="n">
        <f aca="false">IF(AND(Comments!B1932='Policy card'!$C$3,Comments!N1932="Closed"),1,0)</f>
        <v>0</v>
      </c>
      <c r="Q1934" s="0" t="n">
        <f aca="false">Q1933+P1934</f>
        <v>7</v>
      </c>
    </row>
    <row r="1935" customFormat="false" ht="15" hidden="false" customHeight="false" outlineLevel="0" collapsed="false">
      <c r="C1935" s="0" t="n">
        <f aca="false">IF(AND(Comments!B1933='Policy card'!$C$3,Comments!N1933="Open"),1,0)</f>
        <v>0</v>
      </c>
      <c r="D1935" s="0" t="str">
        <f aca="false">IF(C1935=1,E1935,IF(P1935=1,$E$2003+Q1935,""))</f>
        <v/>
      </c>
      <c r="E1935" s="0" t="n">
        <f aca="false">E1934+C1935</f>
        <v>0</v>
      </c>
      <c r="P1935" s="0" t="n">
        <f aca="false">IF(AND(Comments!B1933='Policy card'!$C$3,Comments!N1933="Closed"),1,0)</f>
        <v>0</v>
      </c>
      <c r="Q1935" s="0" t="n">
        <f aca="false">Q1934+P1935</f>
        <v>7</v>
      </c>
    </row>
    <row r="1936" customFormat="false" ht="15" hidden="false" customHeight="false" outlineLevel="0" collapsed="false">
      <c r="C1936" s="0" t="n">
        <f aca="false">IF(AND(Comments!B1934='Policy card'!$C$3,Comments!N1934="Open"),1,0)</f>
        <v>0</v>
      </c>
      <c r="D1936" s="0" t="str">
        <f aca="false">IF(C1936=1,E1936,IF(P1936=1,$E$2003+Q1936,""))</f>
        <v/>
      </c>
      <c r="E1936" s="0" t="n">
        <f aca="false">E1935+C1936</f>
        <v>0</v>
      </c>
      <c r="P1936" s="0" t="n">
        <f aca="false">IF(AND(Comments!B1934='Policy card'!$C$3,Comments!N1934="Closed"),1,0)</f>
        <v>0</v>
      </c>
      <c r="Q1936" s="0" t="n">
        <f aca="false">Q1935+P1936</f>
        <v>7</v>
      </c>
    </row>
    <row r="1937" customFormat="false" ht="15" hidden="false" customHeight="false" outlineLevel="0" collapsed="false">
      <c r="C1937" s="0" t="n">
        <f aca="false">IF(AND(Comments!B1935='Policy card'!$C$3,Comments!N1935="Open"),1,0)</f>
        <v>0</v>
      </c>
      <c r="D1937" s="0" t="str">
        <f aca="false">IF(C1937=1,E1937,IF(P1937=1,$E$2003+Q1937,""))</f>
        <v/>
      </c>
      <c r="E1937" s="0" t="n">
        <f aca="false">E1936+C1937</f>
        <v>0</v>
      </c>
      <c r="P1937" s="0" t="n">
        <f aca="false">IF(AND(Comments!B1935='Policy card'!$C$3,Comments!N1935="Closed"),1,0)</f>
        <v>0</v>
      </c>
      <c r="Q1937" s="0" t="n">
        <f aca="false">Q1936+P1937</f>
        <v>7</v>
      </c>
    </row>
    <row r="1938" customFormat="false" ht="15" hidden="false" customHeight="false" outlineLevel="0" collapsed="false">
      <c r="C1938" s="0" t="n">
        <f aca="false">IF(AND(Comments!B1936='Policy card'!$C$3,Comments!N1936="Open"),1,0)</f>
        <v>0</v>
      </c>
      <c r="D1938" s="0" t="str">
        <f aca="false">IF(C1938=1,E1938,IF(P1938=1,$E$2003+Q1938,""))</f>
        <v/>
      </c>
      <c r="E1938" s="0" t="n">
        <f aca="false">E1937+C1938</f>
        <v>0</v>
      </c>
      <c r="P1938" s="0" t="n">
        <f aca="false">IF(AND(Comments!B1936='Policy card'!$C$3,Comments!N1936="Closed"),1,0)</f>
        <v>0</v>
      </c>
      <c r="Q1938" s="0" t="n">
        <f aca="false">Q1937+P1938</f>
        <v>7</v>
      </c>
    </row>
    <row r="1939" customFormat="false" ht="15" hidden="false" customHeight="false" outlineLevel="0" collapsed="false">
      <c r="C1939" s="0" t="n">
        <f aca="false">IF(AND(Comments!B1937='Policy card'!$C$3,Comments!N1937="Open"),1,0)</f>
        <v>0</v>
      </c>
      <c r="D1939" s="0" t="str">
        <f aca="false">IF(C1939=1,E1939,IF(P1939=1,$E$2003+Q1939,""))</f>
        <v/>
      </c>
      <c r="E1939" s="0" t="n">
        <f aca="false">E1938+C1939</f>
        <v>0</v>
      </c>
      <c r="P1939" s="0" t="n">
        <f aca="false">IF(AND(Comments!B1937='Policy card'!$C$3,Comments!N1937="Closed"),1,0)</f>
        <v>0</v>
      </c>
      <c r="Q1939" s="0" t="n">
        <f aca="false">Q1938+P1939</f>
        <v>7</v>
      </c>
    </row>
    <row r="1940" customFormat="false" ht="15" hidden="false" customHeight="false" outlineLevel="0" collapsed="false">
      <c r="C1940" s="0" t="n">
        <f aca="false">IF(AND(Comments!B1938='Policy card'!$C$3,Comments!N1938="Open"),1,0)</f>
        <v>0</v>
      </c>
      <c r="D1940" s="0" t="str">
        <f aca="false">IF(C1940=1,E1940,IF(P1940=1,$E$2003+Q1940,""))</f>
        <v/>
      </c>
      <c r="E1940" s="0" t="n">
        <f aca="false">E1939+C1940</f>
        <v>0</v>
      </c>
      <c r="P1940" s="0" t="n">
        <f aca="false">IF(AND(Comments!B1938='Policy card'!$C$3,Comments!N1938="Closed"),1,0)</f>
        <v>0</v>
      </c>
      <c r="Q1940" s="0" t="n">
        <f aca="false">Q1939+P1940</f>
        <v>7</v>
      </c>
    </row>
    <row r="1941" customFormat="false" ht="15" hidden="false" customHeight="false" outlineLevel="0" collapsed="false">
      <c r="C1941" s="0" t="n">
        <f aca="false">IF(AND(Comments!B1939='Policy card'!$C$3,Comments!N1939="Open"),1,0)</f>
        <v>0</v>
      </c>
      <c r="D1941" s="0" t="str">
        <f aca="false">IF(C1941=1,E1941,IF(P1941=1,$E$2003+Q1941,""))</f>
        <v/>
      </c>
      <c r="E1941" s="0" t="n">
        <f aca="false">E1940+C1941</f>
        <v>0</v>
      </c>
      <c r="P1941" s="0" t="n">
        <f aca="false">IF(AND(Comments!B1939='Policy card'!$C$3,Comments!N1939="Closed"),1,0)</f>
        <v>0</v>
      </c>
      <c r="Q1941" s="0" t="n">
        <f aca="false">Q1940+P1941</f>
        <v>7</v>
      </c>
    </row>
    <row r="1942" customFormat="false" ht="15" hidden="false" customHeight="false" outlineLevel="0" collapsed="false">
      <c r="C1942" s="0" t="n">
        <f aca="false">IF(AND(Comments!B1940='Policy card'!$C$3,Comments!N1940="Open"),1,0)</f>
        <v>0</v>
      </c>
      <c r="D1942" s="0" t="str">
        <f aca="false">IF(C1942=1,E1942,IF(P1942=1,$E$2003+Q1942,""))</f>
        <v/>
      </c>
      <c r="E1942" s="0" t="n">
        <f aca="false">E1941+C1942</f>
        <v>0</v>
      </c>
      <c r="P1942" s="0" t="n">
        <f aca="false">IF(AND(Comments!B1940='Policy card'!$C$3,Comments!N1940="Closed"),1,0)</f>
        <v>0</v>
      </c>
      <c r="Q1942" s="0" t="n">
        <f aca="false">Q1941+P1942</f>
        <v>7</v>
      </c>
    </row>
    <row r="1943" customFormat="false" ht="15" hidden="false" customHeight="false" outlineLevel="0" collapsed="false">
      <c r="C1943" s="0" t="n">
        <f aca="false">IF(AND(Comments!B1941='Policy card'!$C$3,Comments!N1941="Open"),1,0)</f>
        <v>0</v>
      </c>
      <c r="D1943" s="0" t="str">
        <f aca="false">IF(C1943=1,E1943,IF(P1943=1,$E$2003+Q1943,""))</f>
        <v/>
      </c>
      <c r="E1943" s="0" t="n">
        <f aca="false">E1942+C1943</f>
        <v>0</v>
      </c>
      <c r="P1943" s="0" t="n">
        <f aca="false">IF(AND(Comments!B1941='Policy card'!$C$3,Comments!N1941="Closed"),1,0)</f>
        <v>0</v>
      </c>
      <c r="Q1943" s="0" t="n">
        <f aca="false">Q1942+P1943</f>
        <v>7</v>
      </c>
    </row>
    <row r="1944" customFormat="false" ht="15" hidden="false" customHeight="false" outlineLevel="0" collapsed="false">
      <c r="C1944" s="0" t="n">
        <f aca="false">IF(AND(Comments!B1942='Policy card'!$C$3,Comments!N1942="Open"),1,0)</f>
        <v>0</v>
      </c>
      <c r="D1944" s="0" t="str">
        <f aca="false">IF(C1944=1,E1944,IF(P1944=1,$E$2003+Q1944,""))</f>
        <v/>
      </c>
      <c r="E1944" s="0" t="n">
        <f aca="false">E1943+C1944</f>
        <v>0</v>
      </c>
      <c r="P1944" s="0" t="n">
        <f aca="false">IF(AND(Comments!B1942='Policy card'!$C$3,Comments!N1942="Closed"),1,0)</f>
        <v>0</v>
      </c>
      <c r="Q1944" s="0" t="n">
        <f aca="false">Q1943+P1944</f>
        <v>7</v>
      </c>
    </row>
    <row r="1945" customFormat="false" ht="15" hidden="false" customHeight="false" outlineLevel="0" collapsed="false">
      <c r="C1945" s="0" t="n">
        <f aca="false">IF(AND(Comments!B1943='Policy card'!$C$3,Comments!N1943="Open"),1,0)</f>
        <v>0</v>
      </c>
      <c r="D1945" s="0" t="str">
        <f aca="false">IF(C1945=1,E1945,IF(P1945=1,$E$2003+Q1945,""))</f>
        <v/>
      </c>
      <c r="E1945" s="0" t="n">
        <f aca="false">E1944+C1945</f>
        <v>0</v>
      </c>
      <c r="P1945" s="0" t="n">
        <f aca="false">IF(AND(Comments!B1943='Policy card'!$C$3,Comments!N1943="Closed"),1,0)</f>
        <v>0</v>
      </c>
      <c r="Q1945" s="0" t="n">
        <f aca="false">Q1944+P1945</f>
        <v>7</v>
      </c>
    </row>
    <row r="1946" customFormat="false" ht="15" hidden="false" customHeight="false" outlineLevel="0" collapsed="false">
      <c r="C1946" s="0" t="n">
        <f aca="false">IF(AND(Comments!B1944='Policy card'!$C$3,Comments!N1944="Open"),1,0)</f>
        <v>0</v>
      </c>
      <c r="D1946" s="0" t="str">
        <f aca="false">IF(C1946=1,E1946,IF(P1946=1,$E$2003+Q1946,""))</f>
        <v/>
      </c>
      <c r="E1946" s="0" t="n">
        <f aca="false">E1945+C1946</f>
        <v>0</v>
      </c>
      <c r="P1946" s="0" t="n">
        <f aca="false">IF(AND(Comments!B1944='Policy card'!$C$3,Comments!N1944="Closed"),1,0)</f>
        <v>0</v>
      </c>
      <c r="Q1946" s="0" t="n">
        <f aca="false">Q1945+P1946</f>
        <v>7</v>
      </c>
    </row>
    <row r="1947" customFormat="false" ht="15" hidden="false" customHeight="false" outlineLevel="0" collapsed="false">
      <c r="C1947" s="0" t="n">
        <f aca="false">IF(AND(Comments!B1945='Policy card'!$C$3,Comments!N1945="Open"),1,0)</f>
        <v>0</v>
      </c>
      <c r="D1947" s="0" t="str">
        <f aca="false">IF(C1947=1,E1947,IF(P1947=1,$E$2003+Q1947,""))</f>
        <v/>
      </c>
      <c r="E1947" s="0" t="n">
        <f aca="false">E1946+C1947</f>
        <v>0</v>
      </c>
      <c r="P1947" s="0" t="n">
        <f aca="false">IF(AND(Comments!B1945='Policy card'!$C$3,Comments!N1945="Closed"),1,0)</f>
        <v>0</v>
      </c>
      <c r="Q1947" s="0" t="n">
        <f aca="false">Q1946+P1947</f>
        <v>7</v>
      </c>
    </row>
    <row r="1948" customFormat="false" ht="15" hidden="false" customHeight="false" outlineLevel="0" collapsed="false">
      <c r="C1948" s="0" t="n">
        <f aca="false">IF(AND(Comments!B1946='Policy card'!$C$3,Comments!N1946="Open"),1,0)</f>
        <v>0</v>
      </c>
      <c r="D1948" s="0" t="str">
        <f aca="false">IF(C1948=1,E1948,IF(P1948=1,$E$2003+Q1948,""))</f>
        <v/>
      </c>
      <c r="E1948" s="0" t="n">
        <f aca="false">E1947+C1948</f>
        <v>0</v>
      </c>
      <c r="P1948" s="0" t="n">
        <f aca="false">IF(AND(Comments!B1946='Policy card'!$C$3,Comments!N1946="Closed"),1,0)</f>
        <v>0</v>
      </c>
      <c r="Q1948" s="0" t="n">
        <f aca="false">Q1947+P1948</f>
        <v>7</v>
      </c>
    </row>
    <row r="1949" customFormat="false" ht="15" hidden="false" customHeight="false" outlineLevel="0" collapsed="false">
      <c r="C1949" s="0" t="n">
        <f aca="false">IF(AND(Comments!B1947='Policy card'!$C$3,Comments!N1947="Open"),1,0)</f>
        <v>0</v>
      </c>
      <c r="D1949" s="0" t="str">
        <f aca="false">IF(C1949=1,E1949,IF(P1949=1,$E$2003+Q1949,""))</f>
        <v/>
      </c>
      <c r="E1949" s="0" t="n">
        <f aca="false">E1948+C1949</f>
        <v>0</v>
      </c>
      <c r="P1949" s="0" t="n">
        <f aca="false">IF(AND(Comments!B1947='Policy card'!$C$3,Comments!N1947="Closed"),1,0)</f>
        <v>0</v>
      </c>
      <c r="Q1949" s="0" t="n">
        <f aca="false">Q1948+P1949</f>
        <v>7</v>
      </c>
    </row>
    <row r="1950" customFormat="false" ht="15" hidden="false" customHeight="false" outlineLevel="0" collapsed="false">
      <c r="C1950" s="0" t="n">
        <f aca="false">IF(AND(Comments!B1948='Policy card'!$C$3,Comments!N1948="Open"),1,0)</f>
        <v>0</v>
      </c>
      <c r="D1950" s="0" t="str">
        <f aca="false">IF(C1950=1,E1950,IF(P1950=1,$E$2003+Q1950,""))</f>
        <v/>
      </c>
      <c r="E1950" s="0" t="n">
        <f aca="false">E1949+C1950</f>
        <v>0</v>
      </c>
      <c r="P1950" s="0" t="n">
        <f aca="false">IF(AND(Comments!B1948='Policy card'!$C$3,Comments!N1948="Closed"),1,0)</f>
        <v>0</v>
      </c>
      <c r="Q1950" s="0" t="n">
        <f aca="false">Q1949+P1950</f>
        <v>7</v>
      </c>
    </row>
    <row r="1951" customFormat="false" ht="15" hidden="false" customHeight="false" outlineLevel="0" collapsed="false">
      <c r="C1951" s="0" t="n">
        <f aca="false">IF(AND(Comments!B1949='Policy card'!$C$3,Comments!N1949="Open"),1,0)</f>
        <v>0</v>
      </c>
      <c r="D1951" s="0" t="str">
        <f aca="false">IF(C1951=1,E1951,IF(P1951=1,$E$2003+Q1951,""))</f>
        <v/>
      </c>
      <c r="E1951" s="0" t="n">
        <f aca="false">E1950+C1951</f>
        <v>0</v>
      </c>
      <c r="P1951" s="0" t="n">
        <f aca="false">IF(AND(Comments!B1949='Policy card'!$C$3,Comments!N1949="Closed"),1,0)</f>
        <v>0</v>
      </c>
      <c r="Q1951" s="0" t="n">
        <f aca="false">Q1950+P1951</f>
        <v>7</v>
      </c>
    </row>
    <row r="1952" customFormat="false" ht="15" hidden="false" customHeight="false" outlineLevel="0" collapsed="false">
      <c r="C1952" s="0" t="n">
        <f aca="false">IF(AND(Comments!B1950='Policy card'!$C$3,Comments!N1950="Open"),1,0)</f>
        <v>0</v>
      </c>
      <c r="D1952" s="0" t="str">
        <f aca="false">IF(C1952=1,E1952,IF(P1952=1,$E$2003+Q1952,""))</f>
        <v/>
      </c>
      <c r="E1952" s="0" t="n">
        <f aca="false">E1951+C1952</f>
        <v>0</v>
      </c>
      <c r="P1952" s="0" t="n">
        <f aca="false">IF(AND(Comments!B1950='Policy card'!$C$3,Comments!N1950="Closed"),1,0)</f>
        <v>0</v>
      </c>
      <c r="Q1952" s="0" t="n">
        <f aca="false">Q1951+P1952</f>
        <v>7</v>
      </c>
    </row>
    <row r="1953" customFormat="false" ht="15" hidden="false" customHeight="false" outlineLevel="0" collapsed="false">
      <c r="C1953" s="0" t="n">
        <f aca="false">IF(AND(Comments!B1951='Policy card'!$C$3,Comments!N1951="Open"),1,0)</f>
        <v>0</v>
      </c>
      <c r="D1953" s="0" t="str">
        <f aca="false">IF(C1953=1,E1953,IF(P1953=1,$E$2003+Q1953,""))</f>
        <v/>
      </c>
      <c r="E1953" s="0" t="n">
        <f aca="false">E1952+C1953</f>
        <v>0</v>
      </c>
      <c r="P1953" s="0" t="n">
        <f aca="false">IF(AND(Comments!B1951='Policy card'!$C$3,Comments!N1951="Closed"),1,0)</f>
        <v>0</v>
      </c>
      <c r="Q1953" s="0" t="n">
        <f aca="false">Q1952+P1953</f>
        <v>7</v>
      </c>
    </row>
    <row r="1954" customFormat="false" ht="15" hidden="false" customHeight="false" outlineLevel="0" collapsed="false">
      <c r="C1954" s="0" t="n">
        <f aca="false">IF(AND(Comments!B1952='Policy card'!$C$3,Comments!N1952="Open"),1,0)</f>
        <v>0</v>
      </c>
      <c r="D1954" s="0" t="str">
        <f aca="false">IF(C1954=1,E1954,IF(P1954=1,$E$2003+Q1954,""))</f>
        <v/>
      </c>
      <c r="E1954" s="0" t="n">
        <f aca="false">E1953+C1954</f>
        <v>0</v>
      </c>
      <c r="P1954" s="0" t="n">
        <f aca="false">IF(AND(Comments!B1952='Policy card'!$C$3,Comments!N1952="Closed"),1,0)</f>
        <v>0</v>
      </c>
      <c r="Q1954" s="0" t="n">
        <f aca="false">Q1953+P1954</f>
        <v>7</v>
      </c>
    </row>
    <row r="1955" customFormat="false" ht="15" hidden="false" customHeight="false" outlineLevel="0" collapsed="false">
      <c r="C1955" s="0" t="n">
        <f aca="false">IF(AND(Comments!B1953='Policy card'!$C$3,Comments!N1953="Open"),1,0)</f>
        <v>0</v>
      </c>
      <c r="D1955" s="0" t="str">
        <f aca="false">IF(C1955=1,E1955,IF(P1955=1,$E$2003+Q1955,""))</f>
        <v/>
      </c>
      <c r="E1955" s="0" t="n">
        <f aca="false">E1954+C1955</f>
        <v>0</v>
      </c>
      <c r="P1955" s="0" t="n">
        <f aca="false">IF(AND(Comments!B1953='Policy card'!$C$3,Comments!N1953="Closed"),1,0)</f>
        <v>0</v>
      </c>
      <c r="Q1955" s="0" t="n">
        <f aca="false">Q1954+P1955</f>
        <v>7</v>
      </c>
    </row>
    <row r="1956" customFormat="false" ht="15" hidden="false" customHeight="false" outlineLevel="0" collapsed="false">
      <c r="C1956" s="0" t="n">
        <f aca="false">IF(AND(Comments!B1954='Policy card'!$C$3,Comments!N1954="Open"),1,0)</f>
        <v>0</v>
      </c>
      <c r="D1956" s="0" t="str">
        <f aca="false">IF(C1956=1,E1956,IF(P1956=1,$E$2003+Q1956,""))</f>
        <v/>
      </c>
      <c r="E1956" s="0" t="n">
        <f aca="false">E1955+C1956</f>
        <v>0</v>
      </c>
      <c r="P1956" s="0" t="n">
        <f aca="false">IF(AND(Comments!B1954='Policy card'!$C$3,Comments!N1954="Closed"),1,0)</f>
        <v>0</v>
      </c>
      <c r="Q1956" s="0" t="n">
        <f aca="false">Q1955+P1956</f>
        <v>7</v>
      </c>
    </row>
    <row r="1957" customFormat="false" ht="15" hidden="false" customHeight="false" outlineLevel="0" collapsed="false">
      <c r="C1957" s="0" t="n">
        <f aca="false">IF(AND(Comments!B1955='Policy card'!$C$3,Comments!N1955="Open"),1,0)</f>
        <v>0</v>
      </c>
      <c r="D1957" s="0" t="str">
        <f aca="false">IF(C1957=1,E1957,IF(P1957=1,$E$2003+Q1957,""))</f>
        <v/>
      </c>
      <c r="E1957" s="0" t="n">
        <f aca="false">E1956+C1957</f>
        <v>0</v>
      </c>
      <c r="P1957" s="0" t="n">
        <f aca="false">IF(AND(Comments!B1955='Policy card'!$C$3,Comments!N1955="Closed"),1,0)</f>
        <v>0</v>
      </c>
      <c r="Q1957" s="0" t="n">
        <f aca="false">Q1956+P1957</f>
        <v>7</v>
      </c>
    </row>
    <row r="1958" customFormat="false" ht="15" hidden="false" customHeight="false" outlineLevel="0" collapsed="false">
      <c r="C1958" s="0" t="n">
        <f aca="false">IF(AND(Comments!B1956='Policy card'!$C$3,Comments!N1956="Open"),1,0)</f>
        <v>0</v>
      </c>
      <c r="D1958" s="0" t="str">
        <f aca="false">IF(C1958=1,E1958,IF(P1958=1,$E$2003+Q1958,""))</f>
        <v/>
      </c>
      <c r="E1958" s="0" t="n">
        <f aca="false">E1957+C1958</f>
        <v>0</v>
      </c>
      <c r="P1958" s="0" t="n">
        <f aca="false">IF(AND(Comments!B1956='Policy card'!$C$3,Comments!N1956="Closed"),1,0)</f>
        <v>0</v>
      </c>
      <c r="Q1958" s="0" t="n">
        <f aca="false">Q1957+P1958</f>
        <v>7</v>
      </c>
    </row>
    <row r="1959" customFormat="false" ht="15" hidden="false" customHeight="false" outlineLevel="0" collapsed="false">
      <c r="C1959" s="0" t="n">
        <f aca="false">IF(AND(Comments!B1957='Policy card'!$C$3,Comments!N1957="Open"),1,0)</f>
        <v>0</v>
      </c>
      <c r="D1959" s="0" t="str">
        <f aca="false">IF(C1959=1,E1959,IF(P1959=1,$E$2003+Q1959,""))</f>
        <v/>
      </c>
      <c r="E1959" s="0" t="n">
        <f aca="false">E1958+C1959</f>
        <v>0</v>
      </c>
      <c r="P1959" s="0" t="n">
        <f aca="false">IF(AND(Comments!B1957='Policy card'!$C$3,Comments!N1957="Closed"),1,0)</f>
        <v>0</v>
      </c>
      <c r="Q1959" s="0" t="n">
        <f aca="false">Q1958+P1959</f>
        <v>7</v>
      </c>
    </row>
    <row r="1960" customFormat="false" ht="15" hidden="false" customHeight="false" outlineLevel="0" collapsed="false">
      <c r="C1960" s="0" t="n">
        <f aca="false">IF(AND(Comments!B1958='Policy card'!$C$3,Comments!N1958="Open"),1,0)</f>
        <v>0</v>
      </c>
      <c r="D1960" s="0" t="str">
        <f aca="false">IF(C1960=1,E1960,IF(P1960=1,$E$2003+Q1960,""))</f>
        <v/>
      </c>
      <c r="E1960" s="0" t="n">
        <f aca="false">E1959+C1960</f>
        <v>0</v>
      </c>
      <c r="P1960" s="0" t="n">
        <f aca="false">IF(AND(Comments!B1958='Policy card'!$C$3,Comments!N1958="Closed"),1,0)</f>
        <v>0</v>
      </c>
      <c r="Q1960" s="0" t="n">
        <f aca="false">Q1959+P1960</f>
        <v>7</v>
      </c>
    </row>
    <row r="1961" customFormat="false" ht="15" hidden="false" customHeight="false" outlineLevel="0" collapsed="false">
      <c r="C1961" s="0" t="n">
        <f aca="false">IF(AND(Comments!B1959='Policy card'!$C$3,Comments!N1959="Open"),1,0)</f>
        <v>0</v>
      </c>
      <c r="D1961" s="0" t="str">
        <f aca="false">IF(C1961=1,E1961,IF(P1961=1,$E$2003+Q1961,""))</f>
        <v/>
      </c>
      <c r="E1961" s="0" t="n">
        <f aca="false">E1960+C1961</f>
        <v>0</v>
      </c>
      <c r="P1961" s="0" t="n">
        <f aca="false">IF(AND(Comments!B1959='Policy card'!$C$3,Comments!N1959="Closed"),1,0)</f>
        <v>0</v>
      </c>
      <c r="Q1961" s="0" t="n">
        <f aca="false">Q1960+P1961</f>
        <v>7</v>
      </c>
    </row>
    <row r="1962" customFormat="false" ht="15" hidden="false" customHeight="false" outlineLevel="0" collapsed="false">
      <c r="C1962" s="0" t="n">
        <f aca="false">IF(AND(Comments!B1960='Policy card'!$C$3,Comments!N1960="Open"),1,0)</f>
        <v>0</v>
      </c>
      <c r="D1962" s="0" t="str">
        <f aca="false">IF(C1962=1,E1962,IF(P1962=1,$E$2003+Q1962,""))</f>
        <v/>
      </c>
      <c r="E1962" s="0" t="n">
        <f aca="false">E1961+C1962</f>
        <v>0</v>
      </c>
      <c r="P1962" s="0" t="n">
        <f aca="false">IF(AND(Comments!B1960='Policy card'!$C$3,Comments!N1960="Closed"),1,0)</f>
        <v>0</v>
      </c>
      <c r="Q1962" s="0" t="n">
        <f aca="false">Q1961+P1962</f>
        <v>7</v>
      </c>
    </row>
    <row r="1963" customFormat="false" ht="15" hidden="false" customHeight="false" outlineLevel="0" collapsed="false">
      <c r="C1963" s="0" t="n">
        <f aca="false">IF(AND(Comments!B1961='Policy card'!$C$3,Comments!N1961="Open"),1,0)</f>
        <v>0</v>
      </c>
      <c r="D1963" s="0" t="str">
        <f aca="false">IF(C1963=1,E1963,IF(P1963=1,$E$2003+Q1963,""))</f>
        <v/>
      </c>
      <c r="E1963" s="0" t="n">
        <f aca="false">E1962+C1963</f>
        <v>0</v>
      </c>
      <c r="P1963" s="0" t="n">
        <f aca="false">IF(AND(Comments!B1961='Policy card'!$C$3,Comments!N1961="Closed"),1,0)</f>
        <v>0</v>
      </c>
      <c r="Q1963" s="0" t="n">
        <f aca="false">Q1962+P1963</f>
        <v>7</v>
      </c>
    </row>
    <row r="1964" customFormat="false" ht="15" hidden="false" customHeight="false" outlineLevel="0" collapsed="false">
      <c r="C1964" s="0" t="n">
        <f aca="false">IF(AND(Comments!B1962='Policy card'!$C$3,Comments!N1962="Open"),1,0)</f>
        <v>0</v>
      </c>
      <c r="D1964" s="0" t="str">
        <f aca="false">IF(C1964=1,E1964,IF(P1964=1,$E$2003+Q1964,""))</f>
        <v/>
      </c>
      <c r="E1964" s="0" t="n">
        <f aca="false">E1963+C1964</f>
        <v>0</v>
      </c>
      <c r="P1964" s="0" t="n">
        <f aca="false">IF(AND(Comments!B1962='Policy card'!$C$3,Comments!N1962="Closed"),1,0)</f>
        <v>0</v>
      </c>
      <c r="Q1964" s="0" t="n">
        <f aca="false">Q1963+P1964</f>
        <v>7</v>
      </c>
    </row>
    <row r="1965" customFormat="false" ht="15" hidden="false" customHeight="false" outlineLevel="0" collapsed="false">
      <c r="C1965" s="0" t="n">
        <f aca="false">IF(AND(Comments!B1963='Policy card'!$C$3,Comments!N1963="Open"),1,0)</f>
        <v>0</v>
      </c>
      <c r="D1965" s="0" t="str">
        <f aca="false">IF(C1965=1,E1965,IF(P1965=1,$E$2003+Q1965,""))</f>
        <v/>
      </c>
      <c r="E1965" s="0" t="n">
        <f aca="false">E1964+C1965</f>
        <v>0</v>
      </c>
      <c r="P1965" s="0" t="n">
        <f aca="false">IF(AND(Comments!B1963='Policy card'!$C$3,Comments!N1963="Closed"),1,0)</f>
        <v>0</v>
      </c>
      <c r="Q1965" s="0" t="n">
        <f aca="false">Q1964+P1965</f>
        <v>7</v>
      </c>
    </row>
    <row r="1966" customFormat="false" ht="15" hidden="false" customHeight="false" outlineLevel="0" collapsed="false">
      <c r="C1966" s="0" t="n">
        <f aca="false">IF(AND(Comments!B1964='Policy card'!$C$3,Comments!N1964="Open"),1,0)</f>
        <v>0</v>
      </c>
      <c r="D1966" s="0" t="str">
        <f aca="false">IF(C1966=1,E1966,IF(P1966=1,$E$2003+Q1966,""))</f>
        <v/>
      </c>
      <c r="E1966" s="0" t="n">
        <f aca="false">E1965+C1966</f>
        <v>0</v>
      </c>
      <c r="P1966" s="0" t="n">
        <f aca="false">IF(AND(Comments!B1964='Policy card'!$C$3,Comments!N1964="Closed"),1,0)</f>
        <v>0</v>
      </c>
      <c r="Q1966" s="0" t="n">
        <f aca="false">Q1965+P1966</f>
        <v>7</v>
      </c>
    </row>
    <row r="1967" customFormat="false" ht="15" hidden="false" customHeight="false" outlineLevel="0" collapsed="false">
      <c r="C1967" s="0" t="n">
        <f aca="false">IF(AND(Comments!B1965='Policy card'!$C$3,Comments!N1965="Open"),1,0)</f>
        <v>0</v>
      </c>
      <c r="D1967" s="0" t="str">
        <f aca="false">IF(C1967=1,E1967,IF(P1967=1,$E$2003+Q1967,""))</f>
        <v/>
      </c>
      <c r="E1967" s="0" t="n">
        <f aca="false">E1966+C1967</f>
        <v>0</v>
      </c>
      <c r="P1967" s="0" t="n">
        <f aca="false">IF(AND(Comments!B1965='Policy card'!$C$3,Comments!N1965="Closed"),1,0)</f>
        <v>0</v>
      </c>
      <c r="Q1967" s="0" t="n">
        <f aca="false">Q1966+P1967</f>
        <v>7</v>
      </c>
    </row>
    <row r="1968" customFormat="false" ht="15" hidden="false" customHeight="false" outlineLevel="0" collapsed="false">
      <c r="C1968" s="0" t="n">
        <f aca="false">IF(AND(Comments!B1966='Policy card'!$C$3,Comments!N1966="Open"),1,0)</f>
        <v>0</v>
      </c>
      <c r="D1968" s="0" t="str">
        <f aca="false">IF(C1968=1,E1968,IF(P1968=1,$E$2003+Q1968,""))</f>
        <v/>
      </c>
      <c r="E1968" s="0" t="n">
        <f aca="false">E1967+C1968</f>
        <v>0</v>
      </c>
      <c r="P1968" s="0" t="n">
        <f aca="false">IF(AND(Comments!B1966='Policy card'!$C$3,Comments!N1966="Closed"),1,0)</f>
        <v>0</v>
      </c>
      <c r="Q1968" s="0" t="n">
        <f aca="false">Q1967+P1968</f>
        <v>7</v>
      </c>
    </row>
    <row r="1969" customFormat="false" ht="15" hidden="false" customHeight="false" outlineLevel="0" collapsed="false">
      <c r="C1969" s="0" t="n">
        <f aca="false">IF(AND(Comments!B1967='Policy card'!$C$3,Comments!N1967="Open"),1,0)</f>
        <v>0</v>
      </c>
      <c r="D1969" s="0" t="str">
        <f aca="false">IF(C1969=1,E1969,IF(P1969=1,$E$2003+Q1969,""))</f>
        <v/>
      </c>
      <c r="E1969" s="0" t="n">
        <f aca="false">E1968+C1969</f>
        <v>0</v>
      </c>
      <c r="P1969" s="0" t="n">
        <f aca="false">IF(AND(Comments!B1967='Policy card'!$C$3,Comments!N1967="Closed"),1,0)</f>
        <v>0</v>
      </c>
      <c r="Q1969" s="0" t="n">
        <f aca="false">Q1968+P1969</f>
        <v>7</v>
      </c>
    </row>
    <row r="1970" customFormat="false" ht="15" hidden="false" customHeight="false" outlineLevel="0" collapsed="false">
      <c r="C1970" s="0" t="n">
        <f aca="false">IF(AND(Comments!B1968='Policy card'!$C$3,Comments!N1968="Open"),1,0)</f>
        <v>0</v>
      </c>
      <c r="D1970" s="0" t="str">
        <f aca="false">IF(C1970=1,E1970,IF(P1970=1,$E$2003+Q1970,""))</f>
        <v/>
      </c>
      <c r="E1970" s="0" t="n">
        <f aca="false">E1969+C1970</f>
        <v>0</v>
      </c>
      <c r="P1970" s="0" t="n">
        <f aca="false">IF(AND(Comments!B1968='Policy card'!$C$3,Comments!N1968="Closed"),1,0)</f>
        <v>0</v>
      </c>
      <c r="Q1970" s="0" t="n">
        <f aca="false">Q1969+P1970</f>
        <v>7</v>
      </c>
    </row>
    <row r="1971" customFormat="false" ht="15" hidden="false" customHeight="false" outlineLevel="0" collapsed="false">
      <c r="C1971" s="0" t="n">
        <f aca="false">IF(AND(Comments!B1969='Policy card'!$C$3,Comments!N1969="Open"),1,0)</f>
        <v>0</v>
      </c>
      <c r="D1971" s="0" t="str">
        <f aca="false">IF(C1971=1,E1971,IF(P1971=1,$E$2003+Q1971,""))</f>
        <v/>
      </c>
      <c r="E1971" s="0" t="n">
        <f aca="false">E1970+C1971</f>
        <v>0</v>
      </c>
      <c r="P1971" s="0" t="n">
        <f aca="false">IF(AND(Comments!B1969='Policy card'!$C$3,Comments!N1969="Closed"),1,0)</f>
        <v>0</v>
      </c>
      <c r="Q1971" s="0" t="n">
        <f aca="false">Q1970+P1971</f>
        <v>7</v>
      </c>
    </row>
    <row r="1972" customFormat="false" ht="15" hidden="false" customHeight="false" outlineLevel="0" collapsed="false">
      <c r="C1972" s="0" t="n">
        <f aca="false">IF(AND(Comments!B1970='Policy card'!$C$3,Comments!N1970="Open"),1,0)</f>
        <v>0</v>
      </c>
      <c r="D1972" s="0" t="str">
        <f aca="false">IF(C1972=1,E1972,IF(P1972=1,$E$2003+Q1972,""))</f>
        <v/>
      </c>
      <c r="E1972" s="0" t="n">
        <f aca="false">E1971+C1972</f>
        <v>0</v>
      </c>
      <c r="P1972" s="0" t="n">
        <f aca="false">IF(AND(Comments!B1970='Policy card'!$C$3,Comments!N1970="Closed"),1,0)</f>
        <v>0</v>
      </c>
      <c r="Q1972" s="0" t="n">
        <f aca="false">Q1971+P1972</f>
        <v>7</v>
      </c>
    </row>
    <row r="1973" customFormat="false" ht="15" hidden="false" customHeight="false" outlineLevel="0" collapsed="false">
      <c r="C1973" s="0" t="n">
        <f aca="false">IF(AND(Comments!B1971='Policy card'!$C$3,Comments!N1971="Open"),1,0)</f>
        <v>0</v>
      </c>
      <c r="D1973" s="0" t="str">
        <f aca="false">IF(C1973=1,E1973,IF(P1973=1,$E$2003+Q1973,""))</f>
        <v/>
      </c>
      <c r="E1973" s="0" t="n">
        <f aca="false">E1972+C1973</f>
        <v>0</v>
      </c>
      <c r="P1973" s="0" t="n">
        <f aca="false">IF(AND(Comments!B1971='Policy card'!$C$3,Comments!N1971="Closed"),1,0)</f>
        <v>0</v>
      </c>
      <c r="Q1973" s="0" t="n">
        <f aca="false">Q1972+P1973</f>
        <v>7</v>
      </c>
    </row>
    <row r="1974" customFormat="false" ht="15" hidden="false" customHeight="false" outlineLevel="0" collapsed="false">
      <c r="C1974" s="0" t="n">
        <f aca="false">IF(AND(Comments!B1972='Policy card'!$C$3,Comments!N1972="Open"),1,0)</f>
        <v>0</v>
      </c>
      <c r="D1974" s="0" t="str">
        <f aca="false">IF(C1974=1,E1974,IF(P1974=1,$E$2003+Q1974,""))</f>
        <v/>
      </c>
      <c r="E1974" s="0" t="n">
        <f aca="false">E1973+C1974</f>
        <v>0</v>
      </c>
      <c r="P1974" s="0" t="n">
        <f aca="false">IF(AND(Comments!B1972='Policy card'!$C$3,Comments!N1972="Closed"),1,0)</f>
        <v>0</v>
      </c>
      <c r="Q1974" s="0" t="n">
        <f aca="false">Q1973+P1974</f>
        <v>7</v>
      </c>
    </row>
    <row r="1975" customFormat="false" ht="15" hidden="false" customHeight="false" outlineLevel="0" collapsed="false">
      <c r="C1975" s="0" t="n">
        <f aca="false">IF(AND(Comments!B1973='Policy card'!$C$3,Comments!N1973="Open"),1,0)</f>
        <v>0</v>
      </c>
      <c r="D1975" s="0" t="str">
        <f aca="false">IF(C1975=1,E1975,IF(P1975=1,$E$2003+Q1975,""))</f>
        <v/>
      </c>
      <c r="E1975" s="0" t="n">
        <f aca="false">E1974+C1975</f>
        <v>0</v>
      </c>
      <c r="P1975" s="0" t="n">
        <f aca="false">IF(AND(Comments!B1973='Policy card'!$C$3,Comments!N1973="Closed"),1,0)</f>
        <v>0</v>
      </c>
      <c r="Q1975" s="0" t="n">
        <f aca="false">Q1974+P1975</f>
        <v>7</v>
      </c>
    </row>
    <row r="1976" customFormat="false" ht="15" hidden="false" customHeight="false" outlineLevel="0" collapsed="false">
      <c r="C1976" s="0" t="n">
        <f aca="false">IF(AND(Comments!B1974='Policy card'!$C$3,Comments!N1974="Open"),1,0)</f>
        <v>0</v>
      </c>
      <c r="D1976" s="0" t="str">
        <f aca="false">IF(C1976=1,E1976,IF(P1976=1,$E$2003+Q1976,""))</f>
        <v/>
      </c>
      <c r="E1976" s="0" t="n">
        <f aca="false">E1975+C1976</f>
        <v>0</v>
      </c>
      <c r="P1976" s="0" t="n">
        <f aca="false">IF(AND(Comments!B1974='Policy card'!$C$3,Comments!N1974="Closed"),1,0)</f>
        <v>0</v>
      </c>
      <c r="Q1976" s="0" t="n">
        <f aca="false">Q1975+P1976</f>
        <v>7</v>
      </c>
    </row>
    <row r="1977" customFormat="false" ht="15" hidden="false" customHeight="false" outlineLevel="0" collapsed="false">
      <c r="C1977" s="0" t="n">
        <f aca="false">IF(AND(Comments!B1975='Policy card'!$C$3,Comments!N1975="Open"),1,0)</f>
        <v>0</v>
      </c>
      <c r="D1977" s="0" t="str">
        <f aca="false">IF(C1977=1,E1977,IF(P1977=1,$E$2003+Q1977,""))</f>
        <v/>
      </c>
      <c r="E1977" s="0" t="n">
        <f aca="false">E1976+C1977</f>
        <v>0</v>
      </c>
      <c r="P1977" s="0" t="n">
        <f aca="false">IF(AND(Comments!B1975='Policy card'!$C$3,Comments!N1975="Closed"),1,0)</f>
        <v>0</v>
      </c>
      <c r="Q1977" s="0" t="n">
        <f aca="false">Q1976+P1977</f>
        <v>7</v>
      </c>
    </row>
    <row r="1978" customFormat="false" ht="15" hidden="false" customHeight="false" outlineLevel="0" collapsed="false">
      <c r="C1978" s="0" t="n">
        <f aca="false">IF(AND(Comments!B1976='Policy card'!$C$3,Comments!N1976="Open"),1,0)</f>
        <v>0</v>
      </c>
      <c r="D1978" s="0" t="str">
        <f aca="false">IF(C1978=1,E1978,IF(P1978=1,$E$2003+Q1978,""))</f>
        <v/>
      </c>
      <c r="E1978" s="0" t="n">
        <f aca="false">E1977+C1978</f>
        <v>0</v>
      </c>
      <c r="P1978" s="0" t="n">
        <f aca="false">IF(AND(Comments!B1976='Policy card'!$C$3,Comments!N1976="Closed"),1,0)</f>
        <v>0</v>
      </c>
      <c r="Q1978" s="0" t="n">
        <f aca="false">Q1977+P1978</f>
        <v>7</v>
      </c>
    </row>
    <row r="1979" customFormat="false" ht="15" hidden="false" customHeight="false" outlineLevel="0" collapsed="false">
      <c r="C1979" s="0" t="n">
        <f aca="false">IF(AND(Comments!B1977='Policy card'!$C$3,Comments!N1977="Open"),1,0)</f>
        <v>0</v>
      </c>
      <c r="D1979" s="0" t="str">
        <f aca="false">IF(C1979=1,E1979,IF(P1979=1,$E$2003+Q1979,""))</f>
        <v/>
      </c>
      <c r="E1979" s="0" t="n">
        <f aca="false">E1978+C1979</f>
        <v>0</v>
      </c>
      <c r="P1979" s="0" t="n">
        <f aca="false">IF(AND(Comments!B1977='Policy card'!$C$3,Comments!N1977="Closed"),1,0)</f>
        <v>0</v>
      </c>
      <c r="Q1979" s="0" t="n">
        <f aca="false">Q1978+P1979</f>
        <v>7</v>
      </c>
    </row>
    <row r="1980" customFormat="false" ht="15" hidden="false" customHeight="false" outlineLevel="0" collapsed="false">
      <c r="C1980" s="0" t="n">
        <f aca="false">IF(AND(Comments!B1978='Policy card'!$C$3,Comments!N1978="Open"),1,0)</f>
        <v>0</v>
      </c>
      <c r="D1980" s="0" t="str">
        <f aca="false">IF(C1980=1,E1980,IF(P1980=1,$E$2003+Q1980,""))</f>
        <v/>
      </c>
      <c r="E1980" s="0" t="n">
        <f aca="false">E1979+C1980</f>
        <v>0</v>
      </c>
      <c r="P1980" s="0" t="n">
        <f aca="false">IF(AND(Comments!B1978='Policy card'!$C$3,Comments!N1978="Closed"),1,0)</f>
        <v>0</v>
      </c>
      <c r="Q1980" s="0" t="n">
        <f aca="false">Q1979+P1980</f>
        <v>7</v>
      </c>
    </row>
    <row r="1981" customFormat="false" ht="15" hidden="false" customHeight="false" outlineLevel="0" collapsed="false">
      <c r="C1981" s="0" t="n">
        <f aca="false">IF(AND(Comments!B1979='Policy card'!$C$3,Comments!N1979="Open"),1,0)</f>
        <v>0</v>
      </c>
      <c r="D1981" s="0" t="str">
        <f aca="false">IF(C1981=1,E1981,IF(P1981=1,$E$2003+Q1981,""))</f>
        <v/>
      </c>
      <c r="E1981" s="0" t="n">
        <f aca="false">E1980+C1981</f>
        <v>0</v>
      </c>
      <c r="P1981" s="0" t="n">
        <f aca="false">IF(AND(Comments!B1979='Policy card'!$C$3,Comments!N1979="Closed"),1,0)</f>
        <v>0</v>
      </c>
      <c r="Q1981" s="0" t="n">
        <f aca="false">Q1980+P1981</f>
        <v>7</v>
      </c>
    </row>
    <row r="1982" customFormat="false" ht="15" hidden="false" customHeight="false" outlineLevel="0" collapsed="false">
      <c r="C1982" s="0" t="n">
        <f aca="false">IF(AND(Comments!B1980='Policy card'!$C$3,Comments!N1980="Open"),1,0)</f>
        <v>0</v>
      </c>
      <c r="D1982" s="0" t="str">
        <f aca="false">IF(C1982=1,E1982,IF(P1982=1,$E$2003+Q1982,""))</f>
        <v/>
      </c>
      <c r="E1982" s="0" t="n">
        <f aca="false">E1981+C1982</f>
        <v>0</v>
      </c>
      <c r="P1982" s="0" t="n">
        <f aca="false">IF(AND(Comments!B1980='Policy card'!$C$3,Comments!N1980="Closed"),1,0)</f>
        <v>0</v>
      </c>
      <c r="Q1982" s="0" t="n">
        <f aca="false">Q1981+P1982</f>
        <v>7</v>
      </c>
    </row>
    <row r="1983" customFormat="false" ht="15" hidden="false" customHeight="false" outlineLevel="0" collapsed="false">
      <c r="C1983" s="0" t="n">
        <f aca="false">IF(AND(Comments!B1981='Policy card'!$C$3,Comments!N1981="Open"),1,0)</f>
        <v>0</v>
      </c>
      <c r="D1983" s="0" t="str">
        <f aca="false">IF(C1983=1,E1983,IF(P1983=1,$E$2003+Q1983,""))</f>
        <v/>
      </c>
      <c r="E1983" s="0" t="n">
        <f aca="false">E1982+C1983</f>
        <v>0</v>
      </c>
      <c r="P1983" s="0" t="n">
        <f aca="false">IF(AND(Comments!B1981='Policy card'!$C$3,Comments!N1981="Closed"),1,0)</f>
        <v>0</v>
      </c>
      <c r="Q1983" s="0" t="n">
        <f aca="false">Q1982+P1983</f>
        <v>7</v>
      </c>
    </row>
    <row r="1984" customFormat="false" ht="15" hidden="false" customHeight="false" outlineLevel="0" collapsed="false">
      <c r="C1984" s="0" t="n">
        <f aca="false">IF(AND(Comments!B1982='Policy card'!$C$3,Comments!N1982="Open"),1,0)</f>
        <v>0</v>
      </c>
      <c r="D1984" s="0" t="str">
        <f aca="false">IF(C1984=1,E1984,IF(P1984=1,$E$2003+Q1984,""))</f>
        <v/>
      </c>
      <c r="E1984" s="0" t="n">
        <f aca="false">E1983+C1984</f>
        <v>0</v>
      </c>
      <c r="P1984" s="0" t="n">
        <f aca="false">IF(AND(Comments!B1982='Policy card'!$C$3,Comments!N1982="Closed"),1,0)</f>
        <v>0</v>
      </c>
      <c r="Q1984" s="0" t="n">
        <f aca="false">Q1983+P1984</f>
        <v>7</v>
      </c>
    </row>
    <row r="1985" customFormat="false" ht="15" hidden="false" customHeight="false" outlineLevel="0" collapsed="false">
      <c r="C1985" s="0" t="n">
        <f aca="false">IF(AND(Comments!B1983='Policy card'!$C$3,Comments!N1983="Open"),1,0)</f>
        <v>0</v>
      </c>
      <c r="D1985" s="0" t="str">
        <f aca="false">IF(C1985=1,E1985,IF(P1985=1,$E$2003+Q1985,""))</f>
        <v/>
      </c>
      <c r="E1985" s="0" t="n">
        <f aca="false">E1984+C1985</f>
        <v>0</v>
      </c>
      <c r="P1985" s="0" t="n">
        <f aca="false">IF(AND(Comments!B1983='Policy card'!$C$3,Comments!N1983="Closed"),1,0)</f>
        <v>0</v>
      </c>
      <c r="Q1985" s="0" t="n">
        <f aca="false">Q1984+P1985</f>
        <v>7</v>
      </c>
    </row>
    <row r="1986" customFormat="false" ht="15" hidden="false" customHeight="false" outlineLevel="0" collapsed="false">
      <c r="C1986" s="0" t="n">
        <f aca="false">IF(AND(Comments!B1984='Policy card'!$C$3,Comments!N1984="Open"),1,0)</f>
        <v>0</v>
      </c>
      <c r="D1986" s="0" t="str">
        <f aca="false">IF(C1986=1,E1986,IF(P1986=1,$E$2003+Q1986,""))</f>
        <v/>
      </c>
      <c r="E1986" s="0" t="n">
        <f aca="false">E1985+C1986</f>
        <v>0</v>
      </c>
      <c r="P1986" s="0" t="n">
        <f aca="false">IF(AND(Comments!B1984='Policy card'!$C$3,Comments!N1984="Closed"),1,0)</f>
        <v>0</v>
      </c>
      <c r="Q1986" s="0" t="n">
        <f aca="false">Q1985+P1986</f>
        <v>7</v>
      </c>
    </row>
    <row r="1987" customFormat="false" ht="15" hidden="false" customHeight="false" outlineLevel="0" collapsed="false">
      <c r="C1987" s="0" t="n">
        <f aca="false">IF(AND(Comments!B1985='Policy card'!$C$3,Comments!N1985="Open"),1,0)</f>
        <v>0</v>
      </c>
      <c r="D1987" s="0" t="str">
        <f aca="false">IF(C1987=1,E1987,IF(P1987=1,$E$2003+Q1987,""))</f>
        <v/>
      </c>
      <c r="E1987" s="0" t="n">
        <f aca="false">E1986+C1987</f>
        <v>0</v>
      </c>
      <c r="P1987" s="0" t="n">
        <f aca="false">IF(AND(Comments!B1985='Policy card'!$C$3,Comments!N1985="Closed"),1,0)</f>
        <v>0</v>
      </c>
      <c r="Q1987" s="0" t="n">
        <f aca="false">Q1986+P1987</f>
        <v>7</v>
      </c>
    </row>
    <row r="1988" customFormat="false" ht="15" hidden="false" customHeight="false" outlineLevel="0" collapsed="false">
      <c r="C1988" s="0" t="n">
        <f aca="false">IF(AND(Comments!B1986='Policy card'!$C$3,Comments!N1986="Open"),1,0)</f>
        <v>0</v>
      </c>
      <c r="D1988" s="0" t="str">
        <f aca="false">IF(C1988=1,E1988,IF(P1988=1,$E$2003+Q1988,""))</f>
        <v/>
      </c>
      <c r="E1988" s="0" t="n">
        <f aca="false">E1987+C1988</f>
        <v>0</v>
      </c>
      <c r="P1988" s="0" t="n">
        <f aca="false">IF(AND(Comments!B1986='Policy card'!$C$3,Comments!N1986="Closed"),1,0)</f>
        <v>0</v>
      </c>
      <c r="Q1988" s="0" t="n">
        <f aca="false">Q1987+P1988</f>
        <v>7</v>
      </c>
    </row>
    <row r="1989" customFormat="false" ht="15" hidden="false" customHeight="false" outlineLevel="0" collapsed="false">
      <c r="C1989" s="0" t="n">
        <f aca="false">IF(AND(Comments!B1987='Policy card'!$C$3,Comments!N1987="Open"),1,0)</f>
        <v>0</v>
      </c>
      <c r="D1989" s="0" t="str">
        <f aca="false">IF(C1989=1,E1989,IF(P1989=1,$E$2003+Q1989,""))</f>
        <v/>
      </c>
      <c r="E1989" s="0" t="n">
        <f aca="false">E1988+C1989</f>
        <v>0</v>
      </c>
      <c r="P1989" s="0" t="n">
        <f aca="false">IF(AND(Comments!B1987='Policy card'!$C$3,Comments!N1987="Closed"),1,0)</f>
        <v>0</v>
      </c>
      <c r="Q1989" s="0" t="n">
        <f aca="false">Q1988+P1989</f>
        <v>7</v>
      </c>
    </row>
    <row r="1990" customFormat="false" ht="15" hidden="false" customHeight="false" outlineLevel="0" collapsed="false">
      <c r="C1990" s="0" t="n">
        <f aca="false">IF(AND(Comments!B1988='Policy card'!$C$3,Comments!N1988="Open"),1,0)</f>
        <v>0</v>
      </c>
      <c r="D1990" s="0" t="str">
        <f aca="false">IF(C1990=1,E1990,IF(P1990=1,$E$2003+Q1990,""))</f>
        <v/>
      </c>
      <c r="E1990" s="0" t="n">
        <f aca="false">E1989+C1990</f>
        <v>0</v>
      </c>
      <c r="P1990" s="0" t="n">
        <f aca="false">IF(AND(Comments!B1988='Policy card'!$C$3,Comments!N1988="Closed"),1,0)</f>
        <v>0</v>
      </c>
      <c r="Q1990" s="0" t="n">
        <f aca="false">Q1989+P1990</f>
        <v>7</v>
      </c>
    </row>
    <row r="1991" customFormat="false" ht="15" hidden="false" customHeight="false" outlineLevel="0" collapsed="false">
      <c r="C1991" s="0" t="n">
        <f aca="false">IF(AND(Comments!B1989='Policy card'!$C$3,Comments!N1989="Open"),1,0)</f>
        <v>0</v>
      </c>
      <c r="D1991" s="0" t="str">
        <f aca="false">IF(C1991=1,E1991,IF(P1991=1,$E$2003+Q1991,""))</f>
        <v/>
      </c>
      <c r="E1991" s="0" t="n">
        <f aca="false">E1990+C1991</f>
        <v>0</v>
      </c>
      <c r="P1991" s="0" t="n">
        <f aca="false">IF(AND(Comments!B1989='Policy card'!$C$3,Comments!N1989="Closed"),1,0)</f>
        <v>0</v>
      </c>
      <c r="Q1991" s="0" t="n">
        <f aca="false">Q1990+P1991</f>
        <v>7</v>
      </c>
    </row>
    <row r="1992" customFormat="false" ht="15" hidden="false" customHeight="false" outlineLevel="0" collapsed="false">
      <c r="C1992" s="0" t="n">
        <f aca="false">IF(AND(Comments!B1990='Policy card'!$C$3,Comments!N1990="Open"),1,0)</f>
        <v>0</v>
      </c>
      <c r="D1992" s="0" t="str">
        <f aca="false">IF(C1992=1,E1992,IF(P1992=1,$E$2003+Q1992,""))</f>
        <v/>
      </c>
      <c r="E1992" s="0" t="n">
        <f aca="false">E1991+C1992</f>
        <v>0</v>
      </c>
      <c r="P1992" s="0" t="n">
        <f aca="false">IF(AND(Comments!B1990='Policy card'!$C$3,Comments!N1990="Closed"),1,0)</f>
        <v>0</v>
      </c>
      <c r="Q1992" s="0" t="n">
        <f aca="false">Q1991+P1992</f>
        <v>7</v>
      </c>
    </row>
    <row r="1993" customFormat="false" ht="15" hidden="false" customHeight="false" outlineLevel="0" collapsed="false">
      <c r="C1993" s="0" t="n">
        <f aca="false">IF(AND(Comments!B1991='Policy card'!$C$3,Comments!N1991="Open"),1,0)</f>
        <v>0</v>
      </c>
      <c r="D1993" s="0" t="str">
        <f aca="false">IF(C1993=1,E1993,IF(P1993=1,$E$2003+Q1993,""))</f>
        <v/>
      </c>
      <c r="E1993" s="0" t="n">
        <f aca="false">E1992+C1993</f>
        <v>0</v>
      </c>
      <c r="P1993" s="0" t="n">
        <f aca="false">IF(AND(Comments!B1991='Policy card'!$C$3,Comments!N1991="Closed"),1,0)</f>
        <v>0</v>
      </c>
      <c r="Q1993" s="0" t="n">
        <f aca="false">Q1992+P1993</f>
        <v>7</v>
      </c>
    </row>
    <row r="1994" customFormat="false" ht="15" hidden="false" customHeight="false" outlineLevel="0" collapsed="false">
      <c r="C1994" s="0" t="n">
        <f aca="false">IF(AND(Comments!B1992='Policy card'!$C$3,Comments!N1992="Open"),1,0)</f>
        <v>0</v>
      </c>
      <c r="D1994" s="0" t="str">
        <f aca="false">IF(C1994=1,E1994,IF(P1994=1,$E$2003+Q1994,""))</f>
        <v/>
      </c>
      <c r="E1994" s="0" t="n">
        <f aca="false">E1993+C1994</f>
        <v>0</v>
      </c>
      <c r="P1994" s="0" t="n">
        <f aca="false">IF(AND(Comments!B1992='Policy card'!$C$3,Comments!N1992="Closed"),1,0)</f>
        <v>0</v>
      </c>
      <c r="Q1994" s="0" t="n">
        <f aca="false">Q1993+P1994</f>
        <v>7</v>
      </c>
    </row>
    <row r="1995" customFormat="false" ht="15" hidden="false" customHeight="false" outlineLevel="0" collapsed="false">
      <c r="C1995" s="0" t="n">
        <f aca="false">IF(AND(Comments!B1993='Policy card'!$C$3,Comments!N1993="Open"),1,0)</f>
        <v>0</v>
      </c>
      <c r="D1995" s="0" t="str">
        <f aca="false">IF(C1995=1,E1995,IF(P1995=1,$E$2003+Q1995,""))</f>
        <v/>
      </c>
      <c r="E1995" s="0" t="n">
        <f aca="false">E1994+C1995</f>
        <v>0</v>
      </c>
      <c r="P1995" s="0" t="n">
        <f aca="false">IF(AND(Comments!B1993='Policy card'!$C$3,Comments!N1993="Closed"),1,0)</f>
        <v>0</v>
      </c>
      <c r="Q1995" s="0" t="n">
        <f aca="false">Q1994+P1995</f>
        <v>7</v>
      </c>
    </row>
    <row r="1996" customFormat="false" ht="15" hidden="false" customHeight="false" outlineLevel="0" collapsed="false">
      <c r="C1996" s="0" t="n">
        <f aca="false">IF(AND(Comments!B1994='Policy card'!$C$3,Comments!N1994="Open"),1,0)</f>
        <v>0</v>
      </c>
      <c r="D1996" s="0" t="str">
        <f aca="false">IF(C1996=1,E1996,IF(P1996=1,$E$2003+Q1996,""))</f>
        <v/>
      </c>
      <c r="E1996" s="0" t="n">
        <f aca="false">E1995+C1996</f>
        <v>0</v>
      </c>
      <c r="P1996" s="0" t="n">
        <f aca="false">IF(AND(Comments!B1994='Policy card'!$C$3,Comments!N1994="Closed"),1,0)</f>
        <v>0</v>
      </c>
      <c r="Q1996" s="0" t="n">
        <f aca="false">Q1995+P1996</f>
        <v>7</v>
      </c>
    </row>
    <row r="1997" customFormat="false" ht="15" hidden="false" customHeight="false" outlineLevel="0" collapsed="false">
      <c r="C1997" s="0" t="n">
        <f aca="false">IF(AND(Comments!B1995='Policy card'!$C$3,Comments!N1995="Open"),1,0)</f>
        <v>0</v>
      </c>
      <c r="D1997" s="0" t="str">
        <f aca="false">IF(C1997=1,E1997,IF(P1997=1,$E$2003+Q1997,""))</f>
        <v/>
      </c>
      <c r="E1997" s="0" t="n">
        <f aca="false">E1996+C1997</f>
        <v>0</v>
      </c>
      <c r="P1997" s="0" t="n">
        <f aca="false">IF(AND(Comments!B1995='Policy card'!$C$3,Comments!N1995="Closed"),1,0)</f>
        <v>0</v>
      </c>
      <c r="Q1997" s="0" t="n">
        <f aca="false">Q1996+P1997</f>
        <v>7</v>
      </c>
    </row>
    <row r="1998" customFormat="false" ht="15" hidden="false" customHeight="false" outlineLevel="0" collapsed="false">
      <c r="C1998" s="0" t="n">
        <f aca="false">IF(AND(Comments!B1996='Policy card'!$C$3,Comments!N1996="Open"),1,0)</f>
        <v>0</v>
      </c>
      <c r="D1998" s="0" t="str">
        <f aca="false">IF(C1998=1,E1998,IF(P1998=1,$E$2003+Q1998,""))</f>
        <v/>
      </c>
      <c r="E1998" s="0" t="n">
        <f aca="false">E1997+C1998</f>
        <v>0</v>
      </c>
      <c r="P1998" s="0" t="n">
        <f aca="false">IF(AND(Comments!B1996='Policy card'!$C$3,Comments!N1996="Closed"),1,0)</f>
        <v>0</v>
      </c>
      <c r="Q1998" s="0" t="n">
        <f aca="false">Q1997+P1998</f>
        <v>7</v>
      </c>
    </row>
    <row r="1999" customFormat="false" ht="15" hidden="false" customHeight="false" outlineLevel="0" collapsed="false">
      <c r="C1999" s="0" t="n">
        <f aca="false">IF(AND(Comments!B1997='Policy card'!$C$3,Comments!N1997="Open"),1,0)</f>
        <v>0</v>
      </c>
      <c r="D1999" s="0" t="str">
        <f aca="false">IF(C1999=1,E1999,IF(P1999=1,$E$2003+Q1999,""))</f>
        <v/>
      </c>
      <c r="E1999" s="0" t="n">
        <f aca="false">E1998+C1999</f>
        <v>0</v>
      </c>
      <c r="P1999" s="0" t="n">
        <f aca="false">IF(AND(Comments!B1997='Policy card'!$C$3,Comments!N1997="Closed"),1,0)</f>
        <v>0</v>
      </c>
      <c r="Q1999" s="0" t="n">
        <f aca="false">Q1998+P1999</f>
        <v>7</v>
      </c>
    </row>
    <row r="2000" customFormat="false" ht="15" hidden="false" customHeight="false" outlineLevel="0" collapsed="false">
      <c r="C2000" s="0" t="n">
        <f aca="false">IF(AND(Comments!B1998='Policy card'!$C$3,Comments!N1998="Open"),1,0)</f>
        <v>0</v>
      </c>
      <c r="D2000" s="0" t="str">
        <f aca="false">IF(C2000=1,E2000,IF(P2000=1,$E$2003+Q2000,""))</f>
        <v/>
      </c>
      <c r="E2000" s="0" t="n">
        <f aca="false">E1999+C2000</f>
        <v>0</v>
      </c>
      <c r="P2000" s="0" t="n">
        <f aca="false">IF(AND(Comments!B1998='Policy card'!$C$3,Comments!N1998="Closed"),1,0)</f>
        <v>0</v>
      </c>
      <c r="Q2000" s="0" t="n">
        <f aca="false">Q1999+P2000</f>
        <v>7</v>
      </c>
    </row>
    <row r="2001" customFormat="false" ht="15" hidden="false" customHeight="false" outlineLevel="0" collapsed="false">
      <c r="C2001" s="0" t="n">
        <f aca="false">IF(AND(Comments!B1999='Policy card'!$C$3,Comments!N1999="Open"),1,0)</f>
        <v>0</v>
      </c>
      <c r="D2001" s="0" t="str">
        <f aca="false">IF(C2001=1,E2001,IF(P2001=1,$E$2003+Q2001,""))</f>
        <v/>
      </c>
      <c r="E2001" s="0" t="n">
        <f aca="false">E2000+C2001</f>
        <v>0</v>
      </c>
      <c r="P2001" s="0" t="n">
        <f aca="false">IF(AND(Comments!B1999='Policy card'!$C$3,Comments!N1999="Closed"),1,0)</f>
        <v>0</v>
      </c>
      <c r="Q2001" s="0" t="n">
        <f aca="false">Q2000+P2001</f>
        <v>7</v>
      </c>
    </row>
    <row r="2002" customFormat="false" ht="15" hidden="false" customHeight="false" outlineLevel="0" collapsed="false">
      <c r="C2002" s="0" t="n">
        <f aca="false">IF(AND(Comments!B2000='Policy card'!$C$3,Comments!N2000="Open"),1,0)</f>
        <v>0</v>
      </c>
      <c r="D2002" s="0" t="str">
        <f aca="false">IF(C2002=1,E2002,IF(P2002=1,$E$2003+Q2002,""))</f>
        <v/>
      </c>
      <c r="E2002" s="0" t="n">
        <f aca="false">E2001+C2002</f>
        <v>0</v>
      </c>
      <c r="P2002" s="0" t="n">
        <f aca="false">IF(AND(Comments!B2000='Policy card'!$C$3,Comments!N2000="Closed"),1,0)</f>
        <v>0</v>
      </c>
      <c r="Q2002" s="0" t="n">
        <f aca="false">Q2001+P2002</f>
        <v>7</v>
      </c>
    </row>
    <row r="2003" customFormat="false" ht="15" hidden="false" customHeight="false" outlineLevel="0" collapsed="false">
      <c r="C2003" s="0" t="n">
        <f aca="false">IF(AND(Comments!B2001='Policy card'!$C$3,Comments!N2001="Open"),1,0)</f>
        <v>0</v>
      </c>
      <c r="D2003" s="0" t="str">
        <f aca="false">IF(C2003=1,E2003,IF(P2003=1,$E$2003+Q2003,""))</f>
        <v/>
      </c>
      <c r="E2003" s="0" t="n">
        <f aca="false">E2002+C2003</f>
        <v>0</v>
      </c>
      <c r="P2003" s="0" t="n">
        <f aca="false">IF(AND(Comments!B2001='Policy card'!$C$3,Comments!N2001="Closed"),1,0)</f>
        <v>0</v>
      </c>
      <c r="Q2003" s="0" t="n">
        <f aca="false">Q2002+P2003</f>
        <v>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2026-10-14T19:00:07Z</dcterms:created>
  <dc:creator>Samantha Rubin</dc:creator>
  <dc:description>Independent sample built by Samantha Rubin from public records. Not a district document.</dc:description>
  <dc:language>en-US</dc:language>
  <cp:lastModifiedBy>Samantha Rubin</cp:lastModifiedBy>
  <dcterms:modified xsi:type="dcterms:W3CDTF">2026-10-14T19:00:09Z</dcterms:modified>
  <cp:revision>0</cp:revision>
  <dc:subject/>
  <dc:title>Policy review tracker (sample)</dc:title>
</cp:coreProperties>
</file>

<file path=docProps/custom.xml><?xml version="1.0" encoding="utf-8"?>
<Properties xmlns="http://schemas.openxmlformats.org/officeDocument/2006/custom-properties" xmlns:vt="http://schemas.openxmlformats.org/officeDocument/2006/docPropsVTypes"/>
</file>